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storage-ua.slu.se\home$\robertan\SB35\Sprutj\"/>
    </mc:Choice>
  </mc:AlternateContent>
  <bookViews>
    <workbookView xWindow="-120" yWindow="-120" windowWidth="29040" windowHeight="15720"/>
  </bookViews>
  <sheets>
    <sheet name="Spr1" sheetId="4" r:id="rId1"/>
    <sheet name="Spr2" sheetId="9" r:id="rId2"/>
    <sheet name="Spr3" sheetId="8" r:id="rId3"/>
    <sheet name="Ogräsräkning 1" sheetId="3" r:id="rId4"/>
    <sheet name="Ogräsräkning 2" sheetId="5" r:id="rId5"/>
    <sheet name="Ogräsräkning 3" sheetId="7" r:id="rId6"/>
  </sheets>
  <externalReferences>
    <externalReference r:id="rId7"/>
  </externalReferences>
  <definedNames>
    <definedName name="_xlnm.Print_Area" localSheetId="3">'Ogräsräkning 1'!$B$1:$J$58</definedName>
    <definedName name="_xlnm.Print_Area" localSheetId="4">'Ogräsräkning 2'!$B$1:$J$58</definedName>
    <definedName name="_xlnm.Print_Area" localSheetId="5">'Ogräsräkning 3'!$B$1:$J$58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6" i="9" l="1"/>
  <c r="H36" i="9"/>
  <c r="G36" i="9"/>
  <c r="A36" i="9"/>
  <c r="I35" i="9"/>
  <c r="H35" i="9"/>
  <c r="G35" i="9"/>
  <c r="A35" i="9"/>
  <c r="I34" i="9"/>
  <c r="H34" i="9"/>
  <c r="G34" i="9"/>
  <c r="F7" i="9"/>
  <c r="A34" i="9"/>
  <c r="I33" i="9"/>
  <c r="H33" i="9"/>
  <c r="G33" i="9"/>
  <c r="A33" i="9"/>
  <c r="A25" i="9"/>
  <c r="A29" i="9"/>
  <c r="A30" i="9"/>
  <c r="A31" i="9"/>
  <c r="A32" i="9"/>
  <c r="A24" i="9"/>
  <c r="I32" i="9"/>
  <c r="H32" i="9"/>
  <c r="G32" i="9"/>
  <c r="I31" i="9"/>
  <c r="H31" i="9"/>
  <c r="G31" i="9"/>
  <c r="I30" i="9"/>
  <c r="H30" i="9"/>
  <c r="G30" i="9"/>
  <c r="I29" i="9"/>
  <c r="H29" i="9"/>
  <c r="G29" i="9"/>
  <c r="I28" i="9"/>
  <c r="H28" i="9"/>
  <c r="G28" i="9"/>
  <c r="A28" i="9"/>
  <c r="A27" i="9"/>
  <c r="F26" i="9"/>
  <c r="A26" i="9"/>
  <c r="A23" i="9"/>
  <c r="A22" i="9"/>
  <c r="A21" i="9"/>
  <c r="A20" i="9"/>
  <c r="A19" i="9"/>
  <c r="A18" i="9"/>
  <c r="A17" i="9"/>
  <c r="A15" i="9"/>
  <c r="A16" i="9"/>
  <c r="A14" i="9"/>
  <c r="J15" i="9"/>
  <c r="J14" i="9"/>
  <c r="J13" i="9"/>
  <c r="A13" i="9"/>
  <c r="J12" i="9"/>
  <c r="F12" i="9"/>
  <c r="J19" i="9"/>
  <c r="J20" i="9"/>
  <c r="A12" i="9"/>
  <c r="J11" i="9"/>
  <c r="A11" i="9"/>
  <c r="A10" i="9"/>
  <c r="A7" i="9"/>
  <c r="F8" i="9"/>
  <c r="F11" i="9"/>
  <c r="A2" i="9"/>
  <c r="C1" i="9"/>
  <c r="L3" i="9" s="1"/>
  <c r="I36" i="8"/>
  <c r="H36" i="8"/>
  <c r="G36" i="8"/>
  <c r="A36" i="8"/>
  <c r="I35" i="8"/>
  <c r="H35" i="8"/>
  <c r="G35" i="8"/>
  <c r="A35" i="8"/>
  <c r="I34" i="8"/>
  <c r="H34" i="8"/>
  <c r="G34" i="8"/>
  <c r="A34" i="8"/>
  <c r="I33" i="8"/>
  <c r="H33" i="8"/>
  <c r="G33" i="8"/>
  <c r="A33" i="8"/>
  <c r="I32" i="8"/>
  <c r="H32" i="8"/>
  <c r="G32" i="8"/>
  <c r="A32" i="8"/>
  <c r="I31" i="8"/>
  <c r="H31" i="8"/>
  <c r="G31" i="8"/>
  <c r="A31" i="8"/>
  <c r="I30" i="8"/>
  <c r="H30" i="8"/>
  <c r="G30" i="8"/>
  <c r="C9" i="8"/>
  <c r="A30" i="8"/>
  <c r="I29" i="8"/>
  <c r="H29" i="8"/>
  <c r="G29" i="8"/>
  <c r="F7" i="8"/>
  <c r="J13" i="8"/>
  <c r="F8" i="8"/>
  <c r="F11" i="8"/>
  <c r="A29" i="8"/>
  <c r="I28" i="8"/>
  <c r="H28" i="8"/>
  <c r="G28" i="8"/>
  <c r="A28" i="8"/>
  <c r="A27" i="8"/>
  <c r="F26" i="8"/>
  <c r="A26" i="8"/>
  <c r="A25" i="8"/>
  <c r="A24" i="8" s="1"/>
  <c r="A1" i="8" s="1"/>
  <c r="E29" i="8" s="1"/>
  <c r="A23" i="8"/>
  <c r="A22" i="8"/>
  <c r="A21" i="8"/>
  <c r="A20" i="8"/>
  <c r="A19" i="8"/>
  <c r="A18" i="8"/>
  <c r="A17" i="8"/>
  <c r="A16" i="8"/>
  <c r="J15" i="8"/>
  <c r="A15" i="8"/>
  <c r="A14" i="8"/>
  <c r="J14" i="8"/>
  <c r="A13" i="8"/>
  <c r="J12" i="8"/>
  <c r="F12" i="8"/>
  <c r="J20" i="8"/>
  <c r="A12" i="8"/>
  <c r="A10" i="8"/>
  <c r="A11" i="8"/>
  <c r="A7" i="8"/>
  <c r="J11" i="8"/>
  <c r="E6" i="8"/>
  <c r="A2" i="8"/>
  <c r="L3" i="8"/>
  <c r="O151" i="7"/>
  <c r="O150" i="7"/>
  <c r="O149" i="7"/>
  <c r="O148" i="7"/>
  <c r="O147" i="7"/>
  <c r="O146" i="7"/>
  <c r="O145" i="7"/>
  <c r="O144" i="7"/>
  <c r="O143" i="7"/>
  <c r="O142" i="7"/>
  <c r="O141" i="7"/>
  <c r="O140" i="7"/>
  <c r="O139" i="7"/>
  <c r="O138" i="7"/>
  <c r="O137" i="7"/>
  <c r="O136" i="7"/>
  <c r="O135" i="7"/>
  <c r="O134" i="7"/>
  <c r="O133" i="7"/>
  <c r="O132" i="7"/>
  <c r="O131" i="7"/>
  <c r="O130" i="7"/>
  <c r="O129" i="7"/>
  <c r="O128" i="7"/>
  <c r="O127" i="7"/>
  <c r="O126" i="7"/>
  <c r="O125" i="7"/>
  <c r="O124" i="7"/>
  <c r="O123" i="7"/>
  <c r="O122" i="7"/>
  <c r="O121" i="7"/>
  <c r="O120" i="7"/>
  <c r="O119" i="7"/>
  <c r="O118" i="7"/>
  <c r="O117" i="7"/>
  <c r="O116" i="7"/>
  <c r="O115" i="7"/>
  <c r="O114" i="7"/>
  <c r="O113" i="7"/>
  <c r="O112" i="7"/>
  <c r="O111" i="7"/>
  <c r="O110" i="7"/>
  <c r="O109" i="7"/>
  <c r="O108" i="7"/>
  <c r="O107" i="7"/>
  <c r="O106" i="7"/>
  <c r="O105" i="7"/>
  <c r="O104" i="7"/>
  <c r="O103" i="7"/>
  <c r="O102" i="7"/>
  <c r="O101" i="7"/>
  <c r="O100" i="7"/>
  <c r="O99" i="7"/>
  <c r="O98" i="7"/>
  <c r="O97" i="7"/>
  <c r="O96" i="7"/>
  <c r="O95" i="7"/>
  <c r="O94" i="7"/>
  <c r="O93" i="7"/>
  <c r="O92" i="7"/>
  <c r="O91" i="7"/>
  <c r="O90" i="7"/>
  <c r="O89" i="7"/>
  <c r="O88" i="7"/>
  <c r="O87" i="7"/>
  <c r="O86" i="7"/>
  <c r="O85" i="7"/>
  <c r="O84" i="7"/>
  <c r="O83" i="7"/>
  <c r="O82" i="7"/>
  <c r="O81" i="7"/>
  <c r="O80" i="7"/>
  <c r="O79" i="7"/>
  <c r="O78" i="7"/>
  <c r="O77" i="7"/>
  <c r="O76" i="7"/>
  <c r="O75" i="7"/>
  <c r="O74" i="7"/>
  <c r="O73" i="7"/>
  <c r="O72" i="7"/>
  <c r="O71" i="7"/>
  <c r="O70" i="7"/>
  <c r="O69" i="7"/>
  <c r="O68" i="7"/>
  <c r="O67" i="7"/>
  <c r="O66" i="7"/>
  <c r="O65" i="7"/>
  <c r="O64" i="7"/>
  <c r="O63" i="7"/>
  <c r="O62" i="7"/>
  <c r="O61" i="7"/>
  <c r="O60" i="7"/>
  <c r="O59" i="7"/>
  <c r="O58" i="7"/>
  <c r="A58" i="7"/>
  <c r="O57" i="7"/>
  <c r="O56" i="7"/>
  <c r="O55" i="7"/>
  <c r="M55" i="7"/>
  <c r="K55" i="7"/>
  <c r="L55" i="7"/>
  <c r="O54" i="7"/>
  <c r="M54" i="7"/>
  <c r="K54" i="7"/>
  <c r="L54" i="7"/>
  <c r="O53" i="7"/>
  <c r="M53" i="7"/>
  <c r="K53" i="7"/>
  <c r="L53" i="7"/>
  <c r="O52" i="7"/>
  <c r="N52" i="7"/>
  <c r="M52" i="7"/>
  <c r="K52" i="7"/>
  <c r="L52" i="7"/>
  <c r="O51" i="7"/>
  <c r="A51" i="7"/>
  <c r="A53" i="7"/>
  <c r="O50" i="7"/>
  <c r="M50" i="7"/>
  <c r="K50" i="7"/>
  <c r="L50" i="7"/>
  <c r="O49" i="7"/>
  <c r="M49" i="7"/>
  <c r="K49" i="7"/>
  <c r="L49" i="7"/>
  <c r="O48" i="7"/>
  <c r="M48" i="7"/>
  <c r="L48" i="7"/>
  <c r="K48" i="7"/>
  <c r="O47" i="7"/>
  <c r="N47" i="7"/>
  <c r="M47" i="7"/>
  <c r="K47" i="7"/>
  <c r="L47" i="7"/>
  <c r="A47" i="7"/>
  <c r="O46" i="7"/>
  <c r="A46" i="7"/>
  <c r="A49" i="7"/>
  <c r="O45" i="7"/>
  <c r="M45" i="7"/>
  <c r="L45" i="7"/>
  <c r="K45" i="7"/>
  <c r="O44" i="7"/>
  <c r="M44" i="7"/>
  <c r="K44" i="7"/>
  <c r="L44" i="7"/>
  <c r="O43" i="7"/>
  <c r="M43" i="7"/>
  <c r="K43" i="7"/>
  <c r="L43" i="7"/>
  <c r="O42" i="7"/>
  <c r="N42" i="7"/>
  <c r="M42" i="7"/>
  <c r="L42" i="7"/>
  <c r="K42" i="7"/>
  <c r="O41" i="7"/>
  <c r="A41" i="7"/>
  <c r="O40" i="7"/>
  <c r="M40" i="7"/>
  <c r="K40" i="7"/>
  <c r="L40" i="7"/>
  <c r="O39" i="7"/>
  <c r="M39" i="7"/>
  <c r="K39" i="7"/>
  <c r="L39" i="7"/>
  <c r="O38" i="7"/>
  <c r="M38" i="7"/>
  <c r="K38" i="7"/>
  <c r="L38" i="7"/>
  <c r="O37" i="7"/>
  <c r="N37" i="7"/>
  <c r="M37" i="7"/>
  <c r="K37" i="7"/>
  <c r="L37" i="7"/>
  <c r="O36" i="7"/>
  <c r="A36" i="7"/>
  <c r="A39" i="7"/>
  <c r="O35" i="7"/>
  <c r="M35" i="7"/>
  <c r="L35" i="7"/>
  <c r="K35" i="7"/>
  <c r="O34" i="7"/>
  <c r="M34" i="7"/>
  <c r="L34" i="7"/>
  <c r="K34" i="7"/>
  <c r="O33" i="7"/>
  <c r="M33" i="7"/>
  <c r="L33" i="7"/>
  <c r="A34" i="7"/>
  <c r="K33" i="7"/>
  <c r="O32" i="7"/>
  <c r="N32" i="7"/>
  <c r="M32" i="7"/>
  <c r="L32" i="7"/>
  <c r="K32" i="7"/>
  <c r="A32" i="7"/>
  <c r="O31" i="7"/>
  <c r="A31" i="7"/>
  <c r="A33" i="7"/>
  <c r="O30" i="7"/>
  <c r="M30" i="7"/>
  <c r="L30" i="7"/>
  <c r="K30" i="7"/>
  <c r="O29" i="7"/>
  <c r="M29" i="7"/>
  <c r="K29" i="7"/>
  <c r="L29" i="7"/>
  <c r="O28" i="7"/>
  <c r="M28" i="7"/>
  <c r="K28" i="7"/>
  <c r="L28" i="7"/>
  <c r="O27" i="7"/>
  <c r="N27" i="7"/>
  <c r="M27" i="7"/>
  <c r="L27" i="7"/>
  <c r="K27" i="7"/>
  <c r="O26" i="7"/>
  <c r="A26" i="7"/>
  <c r="O25" i="7"/>
  <c r="M25" i="7"/>
  <c r="K25" i="7"/>
  <c r="L25" i="7"/>
  <c r="O24" i="7"/>
  <c r="M24" i="7"/>
  <c r="K24" i="7"/>
  <c r="L24" i="7"/>
  <c r="O23" i="7"/>
  <c r="M23" i="7"/>
  <c r="L23" i="7"/>
  <c r="K23" i="7"/>
  <c r="O22" i="7"/>
  <c r="N22" i="7"/>
  <c r="M22" i="7"/>
  <c r="K22" i="7"/>
  <c r="L22" i="7"/>
  <c r="O21" i="7"/>
  <c r="A21" i="7"/>
  <c r="O20" i="7"/>
  <c r="M20" i="7"/>
  <c r="L20" i="7"/>
  <c r="K20" i="7"/>
  <c r="O19" i="7"/>
  <c r="M19" i="7"/>
  <c r="L19" i="7"/>
  <c r="K19" i="7"/>
  <c r="O18" i="7"/>
  <c r="M18" i="7"/>
  <c r="L18" i="7"/>
  <c r="K18" i="7"/>
  <c r="O17" i="7"/>
  <c r="N17" i="7"/>
  <c r="M17" i="7"/>
  <c r="L17" i="7"/>
  <c r="K17" i="7"/>
  <c r="A17" i="7"/>
  <c r="O16" i="7"/>
  <c r="A16" i="7"/>
  <c r="A18" i="7"/>
  <c r="O15" i="7"/>
  <c r="O14" i="7"/>
  <c r="O13" i="7"/>
  <c r="O12" i="7"/>
  <c r="O11" i="7"/>
  <c r="O10" i="7"/>
  <c r="O9" i="7"/>
  <c r="O8" i="7"/>
  <c r="O7" i="7"/>
  <c r="O6" i="7"/>
  <c r="O5" i="7"/>
  <c r="O4" i="7"/>
  <c r="O3" i="7"/>
  <c r="L3" i="7"/>
  <c r="M3" i="7"/>
  <c r="O2" i="7"/>
  <c r="L2" i="7"/>
  <c r="J2" i="7"/>
  <c r="B1" i="7" s="1"/>
  <c r="G1" i="7"/>
  <c r="O151" i="5"/>
  <c r="O150" i="5"/>
  <c r="O149" i="5"/>
  <c r="O148" i="5"/>
  <c r="O147" i="5"/>
  <c r="O146" i="5"/>
  <c r="O145" i="5"/>
  <c r="O144" i="5"/>
  <c r="O143" i="5"/>
  <c r="O142" i="5"/>
  <c r="O141" i="5"/>
  <c r="O140" i="5"/>
  <c r="O139" i="5"/>
  <c r="O138" i="5"/>
  <c r="O137" i="5"/>
  <c r="O136" i="5"/>
  <c r="O135" i="5"/>
  <c r="O134" i="5"/>
  <c r="O133" i="5"/>
  <c r="O132" i="5"/>
  <c r="O131" i="5"/>
  <c r="O130" i="5"/>
  <c r="O129" i="5"/>
  <c r="O128" i="5"/>
  <c r="O127" i="5"/>
  <c r="O126" i="5"/>
  <c r="O125" i="5"/>
  <c r="O124" i="5"/>
  <c r="O123" i="5"/>
  <c r="O122" i="5"/>
  <c r="O121" i="5"/>
  <c r="O120" i="5"/>
  <c r="O119" i="5"/>
  <c r="O118" i="5"/>
  <c r="O117" i="5"/>
  <c r="O116" i="5"/>
  <c r="O115" i="5"/>
  <c r="O114" i="5"/>
  <c r="O113" i="5"/>
  <c r="O112" i="5"/>
  <c r="O111" i="5"/>
  <c r="O110" i="5"/>
  <c r="O109" i="5"/>
  <c r="O108" i="5"/>
  <c r="O107" i="5"/>
  <c r="O106" i="5"/>
  <c r="O105" i="5"/>
  <c r="O104" i="5"/>
  <c r="O103" i="5"/>
  <c r="O102" i="5"/>
  <c r="O101" i="5"/>
  <c r="O100" i="5"/>
  <c r="O99" i="5"/>
  <c r="O98" i="5"/>
  <c r="O97" i="5"/>
  <c r="O96" i="5"/>
  <c r="O95" i="5"/>
  <c r="O94" i="5"/>
  <c r="O93" i="5"/>
  <c r="O92" i="5"/>
  <c r="O91" i="5"/>
  <c r="O90" i="5"/>
  <c r="O89" i="5"/>
  <c r="O88" i="5"/>
  <c r="O87" i="5"/>
  <c r="O86" i="5"/>
  <c r="O85" i="5"/>
  <c r="O84" i="5"/>
  <c r="O83" i="5"/>
  <c r="O82" i="5"/>
  <c r="O81" i="5"/>
  <c r="O80" i="5"/>
  <c r="O79" i="5"/>
  <c r="O78" i="5"/>
  <c r="O77" i="5"/>
  <c r="O76" i="5"/>
  <c r="O75" i="5"/>
  <c r="O74" i="5"/>
  <c r="O73" i="5"/>
  <c r="O72" i="5"/>
  <c r="O71" i="5"/>
  <c r="O70" i="5"/>
  <c r="O69" i="5"/>
  <c r="O68" i="5"/>
  <c r="O67" i="5"/>
  <c r="O66" i="5"/>
  <c r="O65" i="5"/>
  <c r="O64" i="5"/>
  <c r="O63" i="5"/>
  <c r="O62" i="5"/>
  <c r="O61" i="5"/>
  <c r="O60" i="5"/>
  <c r="O59" i="5"/>
  <c r="O58" i="5"/>
  <c r="A58" i="5"/>
  <c r="O57" i="5"/>
  <c r="O56" i="5"/>
  <c r="O55" i="5"/>
  <c r="M55" i="5"/>
  <c r="K55" i="5"/>
  <c r="L55" i="5"/>
  <c r="O54" i="5"/>
  <c r="M54" i="5"/>
  <c r="K54" i="5"/>
  <c r="L54" i="5"/>
  <c r="O53" i="5"/>
  <c r="M53" i="5"/>
  <c r="K53" i="5"/>
  <c r="L53" i="5"/>
  <c r="O52" i="5"/>
  <c r="N52" i="5"/>
  <c r="M52" i="5"/>
  <c r="K52" i="5"/>
  <c r="L52" i="5"/>
  <c r="A52" i="5"/>
  <c r="O51" i="5"/>
  <c r="A51" i="5"/>
  <c r="A53" i="5"/>
  <c r="O50" i="5"/>
  <c r="M50" i="5"/>
  <c r="K50" i="5"/>
  <c r="L50" i="5"/>
  <c r="O49" i="5"/>
  <c r="M49" i="5"/>
  <c r="K49" i="5"/>
  <c r="L49" i="5"/>
  <c r="O48" i="5"/>
  <c r="M48" i="5"/>
  <c r="K48" i="5"/>
  <c r="L48" i="5"/>
  <c r="O47" i="5"/>
  <c r="N47" i="5"/>
  <c r="M47" i="5"/>
  <c r="K47" i="5"/>
  <c r="L47" i="5"/>
  <c r="O46" i="5"/>
  <c r="A46" i="5"/>
  <c r="A49" i="5"/>
  <c r="O45" i="5"/>
  <c r="M45" i="5"/>
  <c r="L45" i="5"/>
  <c r="K45" i="5"/>
  <c r="O44" i="5"/>
  <c r="M44" i="5"/>
  <c r="L44" i="5"/>
  <c r="K44" i="5"/>
  <c r="O43" i="5"/>
  <c r="M43" i="5"/>
  <c r="K43" i="5"/>
  <c r="L43" i="5"/>
  <c r="O42" i="5"/>
  <c r="N42" i="5"/>
  <c r="M42" i="5"/>
  <c r="L42" i="5"/>
  <c r="K42" i="5"/>
  <c r="O41" i="5"/>
  <c r="A41" i="5"/>
  <c r="O40" i="5"/>
  <c r="M40" i="5"/>
  <c r="K40" i="5"/>
  <c r="L40" i="5"/>
  <c r="O39" i="5"/>
  <c r="M39" i="5"/>
  <c r="K39" i="5"/>
  <c r="L39" i="5"/>
  <c r="O38" i="5"/>
  <c r="M38" i="5"/>
  <c r="K38" i="5"/>
  <c r="L38" i="5"/>
  <c r="O37" i="5"/>
  <c r="N37" i="5"/>
  <c r="M37" i="5"/>
  <c r="K37" i="5"/>
  <c r="L37" i="5"/>
  <c r="O36" i="5"/>
  <c r="A36" i="5"/>
  <c r="O35" i="5"/>
  <c r="M35" i="5"/>
  <c r="K35" i="5"/>
  <c r="L35" i="5"/>
  <c r="O34" i="5"/>
  <c r="M34" i="5"/>
  <c r="K34" i="5"/>
  <c r="L34" i="5"/>
  <c r="O33" i="5"/>
  <c r="M33" i="5"/>
  <c r="L33" i="5"/>
  <c r="K33" i="5"/>
  <c r="O32" i="5"/>
  <c r="N32" i="5"/>
  <c r="M32" i="5"/>
  <c r="K32" i="5"/>
  <c r="L32" i="5"/>
  <c r="A34" i="5"/>
  <c r="A32" i="5"/>
  <c r="A35" i="5"/>
  <c r="O31" i="5"/>
  <c r="A31" i="5"/>
  <c r="A33" i="5"/>
  <c r="O30" i="5"/>
  <c r="M30" i="5"/>
  <c r="L30" i="5"/>
  <c r="K30" i="5"/>
  <c r="O29" i="5"/>
  <c r="M29" i="5"/>
  <c r="K29" i="5"/>
  <c r="L29" i="5"/>
  <c r="O28" i="5"/>
  <c r="M28" i="5"/>
  <c r="K28" i="5"/>
  <c r="L28" i="5"/>
  <c r="O27" i="5"/>
  <c r="N27" i="5"/>
  <c r="M27" i="5"/>
  <c r="L27" i="5"/>
  <c r="A29" i="5"/>
  <c r="K27" i="5"/>
  <c r="O26" i="5"/>
  <c r="A26" i="5"/>
  <c r="O25" i="5"/>
  <c r="M25" i="5"/>
  <c r="K25" i="5"/>
  <c r="L25" i="5"/>
  <c r="O24" i="5"/>
  <c r="M24" i="5"/>
  <c r="K24" i="5"/>
  <c r="L24" i="5"/>
  <c r="O23" i="5"/>
  <c r="M23" i="5"/>
  <c r="K23" i="5"/>
  <c r="L23" i="5"/>
  <c r="O22" i="5"/>
  <c r="N22" i="5"/>
  <c r="M22" i="5"/>
  <c r="K22" i="5"/>
  <c r="L22" i="5"/>
  <c r="O21" i="5"/>
  <c r="A21" i="5"/>
  <c r="O20" i="5"/>
  <c r="M20" i="5"/>
  <c r="K20" i="5"/>
  <c r="L20" i="5"/>
  <c r="O19" i="5"/>
  <c r="M19" i="5"/>
  <c r="L19" i="5"/>
  <c r="K19" i="5"/>
  <c r="O18" i="5"/>
  <c r="M18" i="5"/>
  <c r="L18" i="5"/>
  <c r="K18" i="5"/>
  <c r="O17" i="5"/>
  <c r="N17" i="5"/>
  <c r="M17" i="5"/>
  <c r="K17" i="5"/>
  <c r="L17" i="5"/>
  <c r="A17" i="5"/>
  <c r="O16" i="5"/>
  <c r="A16" i="5"/>
  <c r="A18" i="5"/>
  <c r="O15" i="5"/>
  <c r="O14" i="5"/>
  <c r="O13" i="5"/>
  <c r="O12" i="5"/>
  <c r="O11" i="5"/>
  <c r="O10" i="5"/>
  <c r="O9" i="5"/>
  <c r="O8" i="5"/>
  <c r="O7" i="5"/>
  <c r="O6" i="5"/>
  <c r="O5" i="5"/>
  <c r="O4" i="5"/>
  <c r="O3" i="5"/>
  <c r="O2" i="5"/>
  <c r="L2" i="5"/>
  <c r="J2" i="5"/>
  <c r="B1" i="5" s="1"/>
  <c r="G1" i="5"/>
  <c r="I36" i="4"/>
  <c r="H36" i="4"/>
  <c r="G36" i="4"/>
  <c r="A36" i="4"/>
  <c r="I35" i="4"/>
  <c r="H35" i="4"/>
  <c r="G35" i="4"/>
  <c r="A35" i="4"/>
  <c r="I34" i="4"/>
  <c r="H34" i="4"/>
  <c r="G34" i="4"/>
  <c r="A34" i="4"/>
  <c r="I33" i="4"/>
  <c r="H33" i="4"/>
  <c r="G33" i="4"/>
  <c r="A33" i="4"/>
  <c r="A25" i="4"/>
  <c r="A30" i="4"/>
  <c r="A29" i="4"/>
  <c r="A31" i="4"/>
  <c r="A32" i="4"/>
  <c r="A24" i="4"/>
  <c r="I32" i="4"/>
  <c r="H32" i="4"/>
  <c r="G32" i="4"/>
  <c r="I31" i="4"/>
  <c r="H31" i="4"/>
  <c r="G31" i="4"/>
  <c r="I30" i="4"/>
  <c r="H30" i="4"/>
  <c r="G30" i="4"/>
  <c r="I29" i="4"/>
  <c r="H29" i="4"/>
  <c r="G29" i="4"/>
  <c r="I28" i="4"/>
  <c r="H28" i="4"/>
  <c r="G28" i="4"/>
  <c r="A28" i="4"/>
  <c r="A27" i="4"/>
  <c r="F26" i="4"/>
  <c r="A26" i="4"/>
  <c r="A23" i="4"/>
  <c r="A22" i="4"/>
  <c r="A21" i="4"/>
  <c r="A20" i="4"/>
  <c r="A19" i="4"/>
  <c r="A18" i="4"/>
  <c r="A17" i="4"/>
  <c r="A16" i="4"/>
  <c r="J15" i="4"/>
  <c r="A15" i="4"/>
  <c r="J14" i="4"/>
  <c r="J13" i="4"/>
  <c r="A13" i="4"/>
  <c r="J12" i="4"/>
  <c r="F12" i="4"/>
  <c r="J19" i="4"/>
  <c r="A12" i="4"/>
  <c r="A10" i="4"/>
  <c r="A11" i="4"/>
  <c r="J11" i="4"/>
  <c r="F8" i="4"/>
  <c r="F7" i="4"/>
  <c r="E6" i="4"/>
  <c r="A2" i="4"/>
  <c r="C1" i="4"/>
  <c r="L3" i="4" s="1"/>
  <c r="K17" i="3"/>
  <c r="L17" i="3"/>
  <c r="M17" i="3"/>
  <c r="K18" i="3"/>
  <c r="L18" i="3"/>
  <c r="M18" i="3"/>
  <c r="K19" i="3"/>
  <c r="L19" i="3"/>
  <c r="M19" i="3"/>
  <c r="K20" i="3"/>
  <c r="L20" i="3"/>
  <c r="M20" i="3"/>
  <c r="N17" i="3"/>
  <c r="L2" i="3"/>
  <c r="J2" i="3"/>
  <c r="O2" i="3"/>
  <c r="O3" i="3"/>
  <c r="O4" i="3"/>
  <c r="O5" i="3"/>
  <c r="O6" i="3"/>
  <c r="O7" i="3"/>
  <c r="O8" i="3"/>
  <c r="O9" i="3"/>
  <c r="O10" i="3"/>
  <c r="O11" i="3"/>
  <c r="O12" i="3"/>
  <c r="O13" i="3"/>
  <c r="O14" i="3"/>
  <c r="O15" i="3"/>
  <c r="A16" i="3"/>
  <c r="A17" i="3"/>
  <c r="O16" i="3"/>
  <c r="O17" i="3"/>
  <c r="O18" i="3"/>
  <c r="O19" i="3"/>
  <c r="O20" i="3"/>
  <c r="A21" i="3"/>
  <c r="A23" i="3"/>
  <c r="O21" i="3"/>
  <c r="K22" i="3"/>
  <c r="L22" i="3"/>
  <c r="M22" i="3"/>
  <c r="N22" i="3"/>
  <c r="O22" i="3"/>
  <c r="K23" i="3"/>
  <c r="L23" i="3"/>
  <c r="M23" i="3"/>
  <c r="O23" i="3"/>
  <c r="K24" i="3"/>
  <c r="L24" i="3"/>
  <c r="M24" i="3"/>
  <c r="O24" i="3"/>
  <c r="K25" i="3"/>
  <c r="L25" i="3"/>
  <c r="M25" i="3"/>
  <c r="O25" i="3"/>
  <c r="A26" i="3"/>
  <c r="O26" i="3"/>
  <c r="A27" i="3"/>
  <c r="K27" i="3"/>
  <c r="L27" i="3"/>
  <c r="M27" i="3"/>
  <c r="N27" i="3"/>
  <c r="O27" i="3"/>
  <c r="A28" i="3"/>
  <c r="K28" i="3"/>
  <c r="L28" i="3"/>
  <c r="A29" i="3"/>
  <c r="A30" i="3"/>
  <c r="M28" i="3"/>
  <c r="O28" i="3"/>
  <c r="K29" i="3"/>
  <c r="L29" i="3"/>
  <c r="M29" i="3"/>
  <c r="O29" i="3"/>
  <c r="K30" i="3"/>
  <c r="L30" i="3"/>
  <c r="M30" i="3"/>
  <c r="O30" i="3"/>
  <c r="A31" i="3"/>
  <c r="O31" i="3"/>
  <c r="K32" i="3"/>
  <c r="L32" i="3"/>
  <c r="A34" i="3"/>
  <c r="M32" i="3"/>
  <c r="N32" i="3"/>
  <c r="O32" i="3"/>
  <c r="A33" i="3"/>
  <c r="K33" i="3"/>
  <c r="L33" i="3"/>
  <c r="M33" i="3"/>
  <c r="O33" i="3"/>
  <c r="K34" i="3"/>
  <c r="L34" i="3"/>
  <c r="M34" i="3"/>
  <c r="O34" i="3"/>
  <c r="K35" i="3"/>
  <c r="L35" i="3"/>
  <c r="M35" i="3"/>
  <c r="O35" i="3"/>
  <c r="A36" i="3"/>
  <c r="O36" i="3"/>
  <c r="K37" i="3"/>
  <c r="L37" i="3"/>
  <c r="M37" i="3"/>
  <c r="N37" i="3"/>
  <c r="O37" i="3"/>
  <c r="K38" i="3"/>
  <c r="L38" i="3"/>
  <c r="M38" i="3"/>
  <c r="O38" i="3"/>
  <c r="K39" i="3"/>
  <c r="L39" i="3"/>
  <c r="M39" i="3"/>
  <c r="O39" i="3"/>
  <c r="K40" i="3"/>
  <c r="L40" i="3"/>
  <c r="M40" i="3"/>
  <c r="O40" i="3"/>
  <c r="A41" i="3"/>
  <c r="O41" i="3"/>
  <c r="A42" i="3"/>
  <c r="K42" i="3"/>
  <c r="L42" i="3"/>
  <c r="A44" i="3"/>
  <c r="A45" i="3"/>
  <c r="M42" i="3"/>
  <c r="N42" i="3"/>
  <c r="O42" i="3"/>
  <c r="A43" i="3"/>
  <c r="K43" i="3"/>
  <c r="L43" i="3"/>
  <c r="M43" i="3"/>
  <c r="O43" i="3"/>
  <c r="K44" i="3"/>
  <c r="L44" i="3"/>
  <c r="M44" i="3"/>
  <c r="O44" i="3"/>
  <c r="K45" i="3"/>
  <c r="L45" i="3"/>
  <c r="M45" i="3"/>
  <c r="O45" i="3"/>
  <c r="A46" i="3"/>
  <c r="O46" i="3"/>
  <c r="A47" i="3"/>
  <c r="K47" i="3"/>
  <c r="L47" i="3"/>
  <c r="M47" i="3"/>
  <c r="N47" i="3"/>
  <c r="O47" i="3"/>
  <c r="A48" i="3"/>
  <c r="K48" i="3"/>
  <c r="L48" i="3"/>
  <c r="M48" i="3"/>
  <c r="O48" i="3"/>
  <c r="K49" i="3"/>
  <c r="L49" i="3"/>
  <c r="M49" i="3"/>
  <c r="O49" i="3"/>
  <c r="K50" i="3"/>
  <c r="L50" i="3"/>
  <c r="M50" i="3"/>
  <c r="O50" i="3"/>
  <c r="A51" i="3"/>
  <c r="O51" i="3"/>
  <c r="A52" i="3"/>
  <c r="K52" i="3"/>
  <c r="L52" i="3"/>
  <c r="M52" i="3"/>
  <c r="N52" i="3"/>
  <c r="O52" i="3"/>
  <c r="A53" i="3"/>
  <c r="K53" i="3"/>
  <c r="L53" i="3"/>
  <c r="M53" i="3"/>
  <c r="O53" i="3"/>
  <c r="K54" i="3"/>
  <c r="L54" i="3"/>
  <c r="M54" i="3"/>
  <c r="O54" i="3"/>
  <c r="K55" i="3"/>
  <c r="L55" i="3"/>
  <c r="M55" i="3"/>
  <c r="O55" i="3"/>
  <c r="O56" i="3"/>
  <c r="O57" i="3"/>
  <c r="A58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145" i="3"/>
  <c r="O146" i="3"/>
  <c r="O147" i="3"/>
  <c r="O148" i="3"/>
  <c r="O149" i="3"/>
  <c r="O150" i="3"/>
  <c r="O151" i="3"/>
  <c r="A29" i="7"/>
  <c r="A35" i="7"/>
  <c r="A5" i="7"/>
  <c r="A44" i="7"/>
  <c r="A48" i="7"/>
  <c r="A43" i="7"/>
  <c r="A52" i="7"/>
  <c r="A24" i="7"/>
  <c r="A38" i="7"/>
  <c r="A19" i="7"/>
  <c r="L6" i="7"/>
  <c r="M6" i="7"/>
  <c r="A42" i="7"/>
  <c r="A45" i="7"/>
  <c r="A28" i="7"/>
  <c r="A37" i="7"/>
  <c r="A40" i="7"/>
  <c r="A54" i="7"/>
  <c r="A55" i="7"/>
  <c r="A23" i="7"/>
  <c r="L5" i="7"/>
  <c r="M5" i="7"/>
  <c r="A27" i="7"/>
  <c r="A30" i="7"/>
  <c r="A22" i="7"/>
  <c r="A25" i="7"/>
  <c r="A30" i="5"/>
  <c r="A5" i="5"/>
  <c r="A44" i="5"/>
  <c r="A39" i="5"/>
  <c r="A9" i="5"/>
  <c r="A20" i="5"/>
  <c r="A2" i="5"/>
  <c r="L3" i="5"/>
  <c r="A43" i="5"/>
  <c r="A55" i="5"/>
  <c r="A24" i="5"/>
  <c r="A38" i="5"/>
  <c r="A47" i="5"/>
  <c r="A48" i="5"/>
  <c r="A50" i="5"/>
  <c r="A19" i="5"/>
  <c r="A42" i="5"/>
  <c r="A45" i="5"/>
  <c r="A28" i="5"/>
  <c r="A37" i="5"/>
  <c r="A6" i="5"/>
  <c r="A40" i="5"/>
  <c r="A54" i="5"/>
  <c r="A23" i="5"/>
  <c r="A27" i="5"/>
  <c r="A22" i="5"/>
  <c r="L4" i="5"/>
  <c r="M4" i="5"/>
  <c r="A39" i="3"/>
  <c r="A4" i="3"/>
  <c r="A54" i="3"/>
  <c r="A55" i="3"/>
  <c r="A49" i="3"/>
  <c r="A50" i="3"/>
  <c r="A7" i="3"/>
  <c r="A24" i="3"/>
  <c r="A9" i="3"/>
  <c r="A38" i="3"/>
  <c r="A22" i="3"/>
  <c r="A32" i="3"/>
  <c r="A35" i="3"/>
  <c r="A5" i="3"/>
  <c r="A37" i="3"/>
  <c r="A40" i="3"/>
  <c r="A50" i="7"/>
  <c r="A8" i="7"/>
  <c r="A6" i="7"/>
  <c r="A9" i="7"/>
  <c r="A4" i="7"/>
  <c r="L4" i="7"/>
  <c r="A3" i="7"/>
  <c r="A7" i="7"/>
  <c r="A20" i="7"/>
  <c r="A2" i="7"/>
  <c r="A1" i="7"/>
  <c r="A8" i="5"/>
  <c r="A4" i="5"/>
  <c r="A25" i="5"/>
  <c r="A3" i="5"/>
  <c r="A1" i="5"/>
  <c r="L5" i="5"/>
  <c r="M5" i="5"/>
  <c r="A7" i="5"/>
  <c r="L6" i="5"/>
  <c r="M6" i="5"/>
  <c r="M3" i="5"/>
  <c r="A6" i="3"/>
  <c r="A8" i="3"/>
  <c r="A25" i="3"/>
  <c r="A3" i="3"/>
  <c r="M4" i="7"/>
  <c r="L7" i="7"/>
  <c r="M7" i="7"/>
  <c r="L7" i="5"/>
  <c r="M7" i="5"/>
  <c r="J18" i="8"/>
  <c r="J17" i="8"/>
  <c r="B11" i="8"/>
  <c r="J19" i="8"/>
  <c r="B11" i="9"/>
  <c r="B11" i="4"/>
  <c r="C9" i="9"/>
  <c r="J20" i="4"/>
  <c r="L4" i="3"/>
  <c r="M4" i="3"/>
  <c r="A19" i="3"/>
  <c r="L6" i="3"/>
  <c r="M6" i="3"/>
  <c r="L3" i="3"/>
  <c r="A18" i="3"/>
  <c r="L5" i="3"/>
  <c r="M5" i="3"/>
  <c r="A1" i="9"/>
  <c r="E29" i="9"/>
  <c r="A3" i="9"/>
  <c r="J18" i="9"/>
  <c r="J17" i="9"/>
  <c r="L7" i="3"/>
  <c r="M7" i="3"/>
  <c r="M3" i="3"/>
  <c r="A20" i="3"/>
  <c r="A2" i="3"/>
  <c r="A1" i="3"/>
  <c r="G1" i="3"/>
  <c r="A7" i="4"/>
  <c r="A14" i="4"/>
  <c r="F11" i="4"/>
  <c r="J17" i="4"/>
  <c r="A3" i="4"/>
  <c r="A1" i="4"/>
  <c r="E29" i="4"/>
  <c r="J18" i="4"/>
  <c r="A3" i="8" l="1"/>
</calcChain>
</file>

<file path=xl/sharedStrings.xml><?xml version="1.0" encoding="utf-8"?>
<sst xmlns="http://schemas.openxmlformats.org/spreadsheetml/2006/main" count="1277" uniqueCount="239">
  <si>
    <t>Spruttillfälle:1</t>
  </si>
  <si>
    <t>ADB-nr:</t>
  </si>
  <si>
    <t>0568977</t>
  </si>
  <si>
    <t>F-serie:</t>
  </si>
  <si>
    <t>Eget f-nr:</t>
  </si>
  <si>
    <t>15-2022</t>
  </si>
  <si>
    <t>När och vad</t>
  </si>
  <si>
    <t>Det saknas data om tidpunkt</t>
  </si>
  <si>
    <t>Datum ex 2018-05-11</t>
  </si>
  <si>
    <t>Möjliga val i blå rutor</t>
  </si>
  <si>
    <t>Det saknas data om sprutan.</t>
  </si>
  <si>
    <t>Start ex 7:45</t>
  </si>
  <si>
    <t>Vindriktning</t>
  </si>
  <si>
    <t>Markfukt</t>
  </si>
  <si>
    <t>Dagg</t>
  </si>
  <si>
    <t>Det saknas data om sprutan och tidp.</t>
  </si>
  <si>
    <t>Sluttid</t>
  </si>
  <si>
    <t>-</t>
  </si>
  <si>
    <t>Mkt våt</t>
  </si>
  <si>
    <t>Mycket</t>
  </si>
  <si>
    <t>Utv.stadier</t>
  </si>
  <si>
    <t>Det saknas data om vädret</t>
  </si>
  <si>
    <t>Beh fsksled (ex  2-7)</t>
  </si>
  <si>
    <t>5-12</t>
  </si>
  <si>
    <t>N</t>
  </si>
  <si>
    <t>Våt</t>
  </si>
  <si>
    <t>Måttlig</t>
  </si>
  <si>
    <t>Stråsäd</t>
  </si>
  <si>
    <t>Raps mm</t>
  </si>
  <si>
    <t>Det saknas data om vädret och tidp.</t>
  </si>
  <si>
    <t>Sprutan</t>
  </si>
  <si>
    <t>NNO</t>
  </si>
  <si>
    <t>Fuktig</t>
  </si>
  <si>
    <t>Ingen</t>
  </si>
  <si>
    <t>03</t>
  </si>
  <si>
    <t>Frö börjar ta upp vtn</t>
  </si>
  <si>
    <t>Det saknas data om väder och spruta.</t>
  </si>
  <si>
    <t>Sprutans namn:</t>
  </si>
  <si>
    <t>E Speedy 2018</t>
  </si>
  <si>
    <t>NNV</t>
  </si>
  <si>
    <t>Ngt torr</t>
  </si>
  <si>
    <t>Gräns:</t>
  </si>
  <si>
    <t>05</t>
  </si>
  <si>
    <t>Rot växer ut från frö</t>
  </si>
  <si>
    <t>Det saknas data om tidp, väder och spruta.</t>
  </si>
  <si>
    <t>Id-nr (automatiskt)</t>
  </si>
  <si>
    <t>Teoretiskt L/ha (munst, tryck &amp; hast):</t>
  </si>
  <si>
    <t>NO</t>
  </si>
  <si>
    <t>Torr</t>
  </si>
  <si>
    <t>Munstycksstorlek:</t>
  </si>
  <si>
    <t>07</t>
  </si>
  <si>
    <t>Kptil vxr ut fr frö</t>
  </si>
  <si>
    <t>Det saknas data om grödan</t>
  </si>
  <si>
    <t>Munstycksstorlek (Välj):</t>
  </si>
  <si>
    <t>02 Gul</t>
  </si>
  <si>
    <t>NV</t>
  </si>
  <si>
    <t>Mkt torr</t>
  </si>
  <si>
    <t>Flöde, l/min</t>
  </si>
  <si>
    <t>09</t>
  </si>
  <si>
    <t>Sk genom m-yta</t>
  </si>
  <si>
    <t>Hj-blad gnm m-yta</t>
  </si>
  <si>
    <t>Det saknas data om grödan och tidp</t>
  </si>
  <si>
    <t>Fel munstycke, tryck eller hastighet!</t>
  </si>
  <si>
    <t>O</t>
  </si>
  <si>
    <t>01 Orange</t>
  </si>
  <si>
    <t>1:a utanf koleopt</t>
  </si>
  <si>
    <t>Hj-blad utvecklade</t>
  </si>
  <si>
    <t>Det saknas data om grödan och sprutan.</t>
  </si>
  <si>
    <t xml:space="preserve">Tryck, Bar      </t>
  </si>
  <si>
    <t>ONO</t>
  </si>
  <si>
    <t>Jordstruktur</t>
  </si>
  <si>
    <t>015 Grön</t>
  </si>
  <si>
    <t>1:a bl  utvecklat</t>
  </si>
  <si>
    <t>1 örtblad utv.</t>
  </si>
  <si>
    <t>Det saknas data om tidp, grödan och sprutan.</t>
  </si>
  <si>
    <t>Hastighet, km/t</t>
  </si>
  <si>
    <t>OSO</t>
  </si>
  <si>
    <t>Fin</t>
  </si>
  <si>
    <t>2:a bl utvecklat</t>
  </si>
  <si>
    <t>2 örtblad utv.</t>
  </si>
  <si>
    <t>Det saknas data om vädret och grödan</t>
  </si>
  <si>
    <t>Väder och jord:</t>
  </si>
  <si>
    <t>S</t>
  </si>
  <si>
    <t>Medium</t>
  </si>
  <si>
    <t>025 Lila</t>
  </si>
  <si>
    <t>end h-skott utveckl</t>
  </si>
  <si>
    <t>etc</t>
  </si>
  <si>
    <t>Det saknas data om tidp, vädret och grödan</t>
  </si>
  <si>
    <r>
      <t xml:space="preserve">Lufttemp, ºC </t>
    </r>
    <r>
      <rPr>
        <sz val="8"/>
        <rFont val="Arial"/>
        <family val="2"/>
      </rPr>
      <t>(start &amp; slut)</t>
    </r>
  </si>
  <si>
    <t>SO</t>
  </si>
  <si>
    <t>Grov</t>
  </si>
  <si>
    <t>03 Blå</t>
  </si>
  <si>
    <t>h-skott + 1 sidosk.</t>
  </si>
  <si>
    <t>Pl börjar sträckas</t>
  </si>
  <si>
    <t>Det saknas data om sprutan, vädret och grödan</t>
  </si>
  <si>
    <r>
      <t xml:space="preserve">Rel luftfukt, % </t>
    </r>
    <r>
      <rPr>
        <sz val="8"/>
        <rFont val="Arial"/>
        <family val="2"/>
      </rPr>
      <t>(start &amp; slut)</t>
    </r>
  </si>
  <si>
    <t>SSV</t>
  </si>
  <si>
    <t>h-skott + 2 sidosk.</t>
  </si>
  <si>
    <t>1 internod förlängd</t>
  </si>
  <si>
    <t>Allt saknas!</t>
  </si>
  <si>
    <t>Molnighet, %</t>
  </si>
  <si>
    <t>Slut</t>
  </si>
  <si>
    <t>Max</t>
  </si>
  <si>
    <t>SSO</t>
  </si>
  <si>
    <t>Tillväxt</t>
  </si>
  <si>
    <t>Bladslidor förlängs</t>
  </si>
  <si>
    <t>2 internoder förl</t>
  </si>
  <si>
    <r>
      <t xml:space="preserve">Vindhast, m/s </t>
    </r>
    <r>
      <rPr>
        <sz val="8"/>
        <rFont val="Arial"/>
        <family val="2"/>
      </rPr>
      <t>(start, slut och max)</t>
    </r>
  </si>
  <si>
    <t>SV</t>
  </si>
  <si>
    <t>Låg</t>
  </si>
  <si>
    <t>1 nod finns</t>
  </si>
  <si>
    <t>VERWET</t>
  </si>
  <si>
    <r>
      <t xml:space="preserve">Vindriktn. </t>
    </r>
    <r>
      <rPr>
        <sz val="8"/>
        <rFont val="Arial"/>
        <family val="2"/>
      </rPr>
      <t>(vid start, slut och max)</t>
    </r>
  </si>
  <si>
    <t>V</t>
  </si>
  <si>
    <t>Normal</t>
  </si>
  <si>
    <t>2 noder finns</t>
  </si>
  <si>
    <t>Blomknoppar finns</t>
  </si>
  <si>
    <t>WET</t>
  </si>
  <si>
    <t>Marktemp 5 cm ºC</t>
  </si>
  <si>
    <t>Vattnet</t>
  </si>
  <si>
    <t>VNV</t>
  </si>
  <si>
    <t>Hög</t>
  </si>
  <si>
    <t>fl-blad just synligt</t>
  </si>
  <si>
    <t>täckta av bl</t>
  </si>
  <si>
    <t>SLIWET</t>
  </si>
  <si>
    <t>Markfukt i yta:</t>
  </si>
  <si>
    <t>Källa:</t>
  </si>
  <si>
    <t>Klostergården</t>
  </si>
  <si>
    <t>VSV</t>
  </si>
  <si>
    <t>fl-blad slida synlig</t>
  </si>
  <si>
    <t>1:a bl-knoppar synl</t>
  </si>
  <si>
    <t>SLIDRY</t>
  </si>
  <si>
    <t>Markfukt 5 cm</t>
  </si>
  <si>
    <t>Om annan källa (fyll i gul ruta t höger &gt;&gt;
så dyker källan upp i listan):</t>
  </si>
  <si>
    <t>fl-blad slida utväxer</t>
  </si>
  <si>
    <t>ej täckta av blad</t>
  </si>
  <si>
    <t>DRY</t>
  </si>
  <si>
    <t>Om annan spruta skriv in nedan</t>
  </si>
  <si>
    <t>fl-blad slida utvidgad</t>
  </si>
  <si>
    <t>Individuella bl-kn</t>
  </si>
  <si>
    <t>VERDRY</t>
  </si>
  <si>
    <t>Grödan</t>
  </si>
  <si>
    <t>ax första agnar synl</t>
  </si>
  <si>
    <t>synl, fortf slutna</t>
  </si>
  <si>
    <t>FINE</t>
  </si>
  <si>
    <t>Flest</t>
  </si>
  <si>
    <t>Min</t>
  </si>
  <si>
    <t>Namn</t>
  </si>
  <si>
    <t>Id-nr</t>
  </si>
  <si>
    <t>Avst mun-stycken, cm</t>
  </si>
  <si>
    <t>1 småax synl</t>
  </si>
  <si>
    <t>första kronbl synl</t>
  </si>
  <si>
    <t>MEDIUM</t>
  </si>
  <si>
    <t>Utv st BBCH:</t>
  </si>
  <si>
    <t>1/2 axet framme</t>
  </si>
  <si>
    <t>1:a blomman utslag</t>
  </si>
  <si>
    <t>COARSE</t>
  </si>
  <si>
    <t>Fördelning i %</t>
  </si>
  <si>
    <t>hela axet framme</t>
  </si>
  <si>
    <t>full blomn</t>
  </si>
  <si>
    <t>LOW</t>
  </si>
  <si>
    <t>Höjd i cm:</t>
  </si>
  <si>
    <t>Beg blomning</t>
  </si>
  <si>
    <t>avslutad blomning</t>
  </si>
  <si>
    <t>NORMAL</t>
  </si>
  <si>
    <t>Diam inkl utfällda blad, cm:</t>
  </si>
  <si>
    <t>full blom</t>
  </si>
  <si>
    <t>1:a skidor/baljor etc</t>
  </si>
  <si>
    <t>HIGH</t>
  </si>
  <si>
    <t>Tillväxt (låg/normal/hög)</t>
  </si>
  <si>
    <t>10 % nått full längd</t>
  </si>
  <si>
    <t>Wet</t>
  </si>
  <si>
    <t>Marktäckning %:</t>
  </si>
  <si>
    <t>beg mjölkmognad</t>
  </si>
  <si>
    <t>7X</t>
  </si>
  <si>
    <t>X0 % nått full längd</t>
  </si>
  <si>
    <t>Moist</t>
  </si>
  <si>
    <t>Ev stress (torka, frost)</t>
  </si>
  <si>
    <t>(-)</t>
  </si>
  <si>
    <t>«Ange streck om ingen stress (-)</t>
  </si>
  <si>
    <t>mjölkm.</t>
  </si>
  <si>
    <t>No</t>
  </si>
  <si>
    <t>Dagg?</t>
  </si>
  <si>
    <t>sen m-m, klibbigt</t>
  </si>
  <si>
    <t>Radavst, cm:</t>
  </si>
  <si>
    <t>beg degmogn, ostigt</t>
  </si>
  <si>
    <t>Regnfri tid e beh, tim</t>
  </si>
  <si>
    <r>
      <t>&lt;&lt; Skriv in "</t>
    </r>
    <r>
      <rPr>
        <b/>
        <sz val="6"/>
        <color rgb="FFFF0000"/>
        <rFont val="Arial"/>
        <family val="2"/>
      </rPr>
      <t>&gt;24</t>
    </r>
    <r>
      <rPr>
        <sz val="6"/>
        <rFont val="Arial"/>
        <family val="2"/>
      </rPr>
      <t>" om det inte regnat ett dygn efter beh</t>
    </r>
  </si>
  <si>
    <t>degm., nagelavtr tb</t>
  </si>
  <si>
    <t>Sprutat av (sign):</t>
  </si>
  <si>
    <t>FL/TH</t>
  </si>
  <si>
    <t>sen d-m, n-avtr kvar</t>
  </si>
  <si>
    <t>Spruttillfälle:</t>
  </si>
  <si>
    <t>(enligt PM)</t>
  </si>
  <si>
    <t>hela försöket med 1,4 liter Caryx</t>
  </si>
  <si>
    <t>TH</t>
  </si>
  <si>
    <t>Spr3</t>
  </si>
  <si>
    <t>13-16</t>
  </si>
  <si>
    <t>E Speedy 2006</t>
  </si>
  <si>
    <t xml:space="preserve">frost </t>
  </si>
  <si>
    <t>FL/AE</t>
  </si>
  <si>
    <t>Ogräsarter</t>
  </si>
  <si>
    <t>Gräsogräs</t>
  </si>
  <si>
    <t>Örtogräs</t>
  </si>
  <si>
    <t>Lägg till nedan om ej i lista.</t>
  </si>
  <si>
    <t>Gör så här:</t>
  </si>
  <si>
    <t xml:space="preserve">1. Fyll i (välj) art enl nedan. </t>
  </si>
  <si>
    <t xml:space="preserve">2. Fyll i utv.st (flest, min och max) för varje ogräsart. OBS! Gör likadant för ogräsens höjd (cm). </t>
  </si>
  <si>
    <t xml:space="preserve">   Skriv även in diameter (cm). </t>
  </si>
  <si>
    <t xml:space="preserve">3. Fyll i resp arts % täckn i resp obeh ruta (block 1, 2, 3, &amp; 4).  </t>
  </si>
  <si>
    <r>
      <t xml:space="preserve">4. </t>
    </r>
    <r>
      <rPr>
        <u/>
        <sz val="11"/>
        <rFont val="Arial"/>
        <family val="2"/>
      </rPr>
      <t xml:space="preserve">Fyll i antal ogräs/m² i varje obeh ruta för varje art, antal utplacerade rutor bestäms av antalet ogräs: </t>
    </r>
  </si>
  <si>
    <r>
      <t xml:space="preserve"> • </t>
    </r>
    <r>
      <rPr>
        <b/>
        <sz val="10"/>
        <color rgb="FFFF0000"/>
        <rFont val="Arial"/>
        <family val="2"/>
      </rPr>
      <t>&lt;4 pl/0.25m² och art:</t>
    </r>
    <r>
      <rPr>
        <sz val="10"/>
        <rFont val="Arial"/>
        <family val="2"/>
      </rPr>
      <t xml:space="preserve"> Lågt antal, räkna ogräsarten i </t>
    </r>
    <r>
      <rPr>
        <b/>
        <sz val="10"/>
        <color rgb="FFFF0000"/>
        <rFont val="Arial"/>
        <family val="2"/>
      </rPr>
      <t>4 st 0.25m² rutor</t>
    </r>
    <r>
      <rPr>
        <sz val="10"/>
        <rFont val="Arial"/>
        <family val="2"/>
      </rPr>
      <t xml:space="preserve">. </t>
    </r>
  </si>
  <si>
    <r>
      <t xml:space="preserve"> • </t>
    </r>
    <r>
      <rPr>
        <b/>
        <sz val="10"/>
        <color rgb="FFFF0000"/>
        <rFont val="Arial"/>
        <family val="2"/>
      </rPr>
      <t>4-10 pl/0.25m²och art:</t>
    </r>
    <r>
      <rPr>
        <sz val="10"/>
        <rFont val="Arial"/>
        <family val="2"/>
      </rPr>
      <t xml:space="preserve"> Medelhögt antal, räkna i</t>
    </r>
    <r>
      <rPr>
        <b/>
        <sz val="10"/>
        <color rgb="FFFF0000"/>
        <rFont val="Arial"/>
        <family val="2"/>
      </rPr>
      <t xml:space="preserve"> 2 st 0.25m² rutor</t>
    </r>
    <r>
      <rPr>
        <sz val="10"/>
        <rFont val="Arial"/>
        <family val="2"/>
      </rPr>
      <t xml:space="preserve">. </t>
    </r>
  </si>
  <si>
    <r>
      <t xml:space="preserve"> • </t>
    </r>
    <r>
      <rPr>
        <b/>
        <sz val="10"/>
        <color rgb="FFFF0000"/>
        <rFont val="Arial"/>
        <family val="2"/>
      </rPr>
      <t>&gt;=10 pl/0.25m² och art:</t>
    </r>
    <r>
      <rPr>
        <sz val="10"/>
        <rFont val="Arial"/>
        <family val="2"/>
      </rPr>
      <t xml:space="preserve"> Högt antal, räkna i </t>
    </r>
    <r>
      <rPr>
        <b/>
        <sz val="10"/>
        <color rgb="FFFF0000"/>
        <rFont val="Arial"/>
        <family val="2"/>
      </rPr>
      <t>1 st 0.25m² ruta</t>
    </r>
    <r>
      <rPr>
        <sz val="10"/>
        <rFont val="Arial"/>
        <family val="2"/>
      </rPr>
      <t xml:space="preserve">. </t>
    </r>
  </si>
  <si>
    <t xml:space="preserve">  Alla rutor i schemat nedan gäller alltså för 0.25 m²!! Olika arter kan kräva olika antal rutor!</t>
  </si>
  <si>
    <t>5. Ange datum och signera längst ned till vänster.</t>
  </si>
  <si>
    <t>Ogräs i listan är uppbyggda i alfabetisk ordning (sv namn) både med släktnamnet först följt av artnamnet, t ex dån, hamp- och som vanligt namn, "hampdån". Om det är omöjligt att bestämma art finns även "dån?" att tillgå. Om något ogräs saknas, skriv in nedan i gul ruta i kol "L".</t>
  </si>
  <si>
    <t>ART 1 (Välj)</t>
  </si>
  <si>
    <t>Diameter, cm&gt;&gt;:</t>
  </si>
  <si>
    <t>Pl/0.25m²:</t>
  </si>
  <si>
    <t>Täckning %</t>
  </si>
  <si>
    <t>Utv.st (BBCH):</t>
  </si>
  <si>
    <t>Höjd, cm</t>
  </si>
  <si>
    <t>Block 1:</t>
  </si>
  <si>
    <t>Flest:</t>
  </si>
  <si>
    <t>Block 2:</t>
  </si>
  <si>
    <t>Min:</t>
  </si>
  <si>
    <t>Block 3:</t>
  </si>
  <si>
    <t>Max:</t>
  </si>
  <si>
    <t>Block 4:</t>
  </si>
  <si>
    <t>ART 2 (Välj)</t>
  </si>
  <si>
    <t>ART 3 (Välj)</t>
  </si>
  <si>
    <t>ART 4 (Välj)</t>
  </si>
  <si>
    <t>ART 5 (Välj)</t>
  </si>
  <si>
    <t>ART 6 (Välj)</t>
  </si>
  <si>
    <t>ART 7 (Välj)</t>
  </si>
  <si>
    <t>ART 8 (Välj)</t>
  </si>
  <si>
    <t>Datum</t>
  </si>
  <si>
    <t>Ogräs räknat av: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</si>
</sst>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yyyy/mm/dd;@"/>
    <numFmt numFmtId="165" formatCode="hh:mm;@"/>
    <numFmt numFmtId="166" formatCode="0.000"/>
    <numFmt numFmtId="167" formatCode="0.0"/>
  </numFmts>
  <fonts count="3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name val="Arial"/>
      <family val="2"/>
    </font>
    <font>
      <sz val="8"/>
      <name val="Arial"/>
      <family val="2"/>
    </font>
    <font>
      <sz val="14"/>
      <color rgb="FFFF0000"/>
      <name val="Arial"/>
      <family val="2"/>
    </font>
    <font>
      <sz val="18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.7"/>
      <name val="Arial"/>
      <family val="2"/>
    </font>
    <font>
      <sz val="10.7"/>
      <color rgb="FFFF0000"/>
      <name val="Arial"/>
      <family val="2"/>
    </font>
    <font>
      <sz val="9"/>
      <name val="Arial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sz val="7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3"/>
      <color rgb="FFFF0000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3"/>
      <name val="Arial"/>
      <family val="2"/>
    </font>
    <font>
      <b/>
      <u/>
      <sz val="10"/>
      <name val="Arial"/>
      <family val="2"/>
    </font>
    <font>
      <u/>
      <sz val="10"/>
      <color rgb="FFFF0000"/>
      <name val="Arial"/>
      <family val="2"/>
    </font>
    <font>
      <i/>
      <sz val="7"/>
      <name val="Arial"/>
      <family val="2"/>
    </font>
    <font>
      <sz val="8"/>
      <color theme="0"/>
      <name val="Arial"/>
      <family val="2"/>
    </font>
    <font>
      <i/>
      <u/>
      <sz val="7"/>
      <name val="Arial"/>
      <family val="2"/>
    </font>
    <font>
      <sz val="10"/>
      <color theme="0"/>
      <name val="Arial"/>
      <family val="2"/>
    </font>
    <font>
      <sz val="7"/>
      <color theme="0"/>
      <name val="Arial"/>
      <family val="2"/>
    </font>
    <font>
      <u/>
      <sz val="8"/>
      <name val="Arial"/>
      <family val="2"/>
    </font>
    <font>
      <b/>
      <u/>
      <sz val="10.7"/>
      <color rgb="FFFF0000"/>
      <name val="Arial"/>
      <family val="2"/>
    </font>
    <font>
      <b/>
      <sz val="10.7"/>
      <color rgb="FFFF0000"/>
      <name val="Arial"/>
      <family val="2"/>
    </font>
    <font>
      <sz val="13"/>
      <color theme="0"/>
      <name val="Arial"/>
      <family val="2"/>
    </font>
    <font>
      <sz val="6"/>
      <name val="Arial"/>
      <family val="2"/>
    </font>
    <font>
      <b/>
      <sz val="12"/>
      <color rgb="FFFF0000"/>
      <name val="Arial"/>
      <family val="2"/>
    </font>
    <font>
      <b/>
      <sz val="6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05">
    <xf numFmtId="0" fontId="0" fillId="0" borderId="0" xfId="0"/>
    <xf numFmtId="0" fontId="2" fillId="0" borderId="0" xfId="1" applyFont="1" applyProtection="1">
      <protection hidden="1"/>
    </xf>
    <xf numFmtId="0" fontId="2" fillId="0" borderId="0" xfId="1" applyFont="1" applyAlignment="1" applyProtection="1">
      <alignment horizontal="left"/>
      <protection hidden="1"/>
    </xf>
    <xf numFmtId="0" fontId="2" fillId="0" borderId="0" xfId="1" applyFont="1" applyProtection="1">
      <protection locked="0"/>
    </xf>
    <xf numFmtId="0" fontId="3" fillId="0" borderId="0" xfId="1" applyFont="1" applyProtection="1">
      <protection hidden="1"/>
    </xf>
    <xf numFmtId="0" fontId="3" fillId="0" borderId="0" xfId="1" applyFont="1" applyAlignment="1" applyProtection="1">
      <alignment horizontal="left"/>
      <protection hidden="1"/>
    </xf>
    <xf numFmtId="0" fontId="3" fillId="0" borderId="0" xfId="1" applyFont="1" applyProtection="1">
      <protection locked="0"/>
    </xf>
    <xf numFmtId="0" fontId="3" fillId="0" borderId="2" xfId="1" applyFont="1" applyBorder="1" applyProtection="1">
      <protection locked="0"/>
    </xf>
    <xf numFmtId="0" fontId="3" fillId="0" borderId="5" xfId="1" applyFont="1" applyBorder="1" applyProtection="1">
      <protection locked="0"/>
    </xf>
    <xf numFmtId="0" fontId="3" fillId="0" borderId="10" xfId="1" applyFont="1" applyBorder="1" applyAlignment="1" applyProtection="1">
      <alignment horizontal="center"/>
      <protection locked="0"/>
    </xf>
    <xf numFmtId="0" fontId="7" fillId="0" borderId="0" xfId="1" applyFont="1" applyProtection="1">
      <protection hidden="1"/>
    </xf>
    <xf numFmtId="0" fontId="3" fillId="0" borderId="0" xfId="1" applyFont="1" applyAlignment="1" applyProtection="1">
      <alignment horizontal="center"/>
      <protection hidden="1"/>
    </xf>
    <xf numFmtId="0" fontId="3" fillId="0" borderId="11" xfId="1" applyFont="1" applyBorder="1" applyAlignment="1" applyProtection="1">
      <alignment horizontal="center"/>
      <protection hidden="1"/>
    </xf>
    <xf numFmtId="0" fontId="3" fillId="0" borderId="12" xfId="1" applyFont="1" applyBorder="1" applyAlignment="1" applyProtection="1">
      <alignment horizontal="center"/>
      <protection locked="0"/>
    </xf>
    <xf numFmtId="0" fontId="8" fillId="2" borderId="13" xfId="1" applyFont="1" applyFill="1" applyBorder="1" applyAlignment="1" applyProtection="1">
      <alignment horizontal="right"/>
      <protection locked="0"/>
    </xf>
    <xf numFmtId="0" fontId="9" fillId="3" borderId="12" xfId="1" applyFont="1" applyFill="1" applyBorder="1" applyAlignment="1" applyProtection="1">
      <alignment horizontal="right" vertical="center"/>
      <protection locked="0"/>
    </xf>
    <xf numFmtId="0" fontId="8" fillId="0" borderId="0" xfId="1" applyFont="1" applyProtection="1">
      <protection hidden="1"/>
    </xf>
    <xf numFmtId="0" fontId="3" fillId="0" borderId="14" xfId="1" applyFont="1" applyBorder="1" applyAlignment="1" applyProtection="1">
      <alignment horizontal="center"/>
      <protection locked="0"/>
    </xf>
    <xf numFmtId="0" fontId="8" fillId="2" borderId="15" xfId="1" applyFont="1" applyFill="1" applyBorder="1" applyAlignment="1" applyProtection="1">
      <alignment horizontal="right"/>
      <protection locked="0"/>
    </xf>
    <xf numFmtId="0" fontId="9" fillId="3" borderId="14" xfId="1" applyFont="1" applyFill="1" applyBorder="1" applyAlignment="1" applyProtection="1">
      <alignment horizontal="right" vertical="center"/>
      <protection locked="0"/>
    </xf>
    <xf numFmtId="0" fontId="10" fillId="2" borderId="15" xfId="1" applyFont="1" applyFill="1" applyBorder="1" applyProtection="1">
      <protection locked="0"/>
    </xf>
    <xf numFmtId="0" fontId="1" fillId="4" borderId="14" xfId="1" applyFill="1" applyBorder="1" applyAlignment="1" applyProtection="1">
      <alignment vertical="center"/>
      <protection locked="0"/>
    </xf>
    <xf numFmtId="0" fontId="3" fillId="2" borderId="4" xfId="1" applyFont="1" applyFill="1" applyBorder="1" applyProtection="1">
      <protection locked="0"/>
    </xf>
    <xf numFmtId="0" fontId="3" fillId="5" borderId="4" xfId="1" applyFont="1" applyFill="1" applyBorder="1" applyAlignment="1" applyProtection="1">
      <alignment horizontal="center" vertical="center"/>
      <protection locked="0"/>
    </xf>
    <xf numFmtId="0" fontId="3" fillId="6" borderId="0" xfId="1" applyFont="1" applyFill="1" applyAlignment="1" applyProtection="1">
      <alignment horizontal="right"/>
      <protection locked="0"/>
    </xf>
    <xf numFmtId="0" fontId="3" fillId="0" borderId="4" xfId="1" applyFont="1" applyBorder="1" applyAlignment="1" applyProtection="1">
      <alignment horizontal="center"/>
      <protection locked="0"/>
    </xf>
    <xf numFmtId="0" fontId="3" fillId="2" borderId="0" xfId="1" applyFont="1" applyFill="1" applyProtection="1">
      <protection locked="0"/>
    </xf>
    <xf numFmtId="0" fontId="1" fillId="5" borderId="10" xfId="1" applyFill="1" applyBorder="1" applyProtection="1">
      <protection locked="0"/>
    </xf>
    <xf numFmtId="0" fontId="11" fillId="0" borderId="0" xfId="1" applyFont="1" applyAlignment="1" applyProtection="1">
      <alignment horizontal="left" vertical="top" wrapText="1"/>
      <protection hidden="1"/>
    </xf>
    <xf numFmtId="0" fontId="11" fillId="0" borderId="11" xfId="1" applyFont="1" applyBorder="1" applyAlignment="1" applyProtection="1">
      <alignment horizontal="left" vertical="top" wrapText="1"/>
      <protection hidden="1"/>
    </xf>
    <xf numFmtId="0" fontId="12" fillId="0" borderId="0" xfId="1" applyFont="1" applyAlignment="1" applyProtection="1">
      <alignment horizontal="left" vertical="top" wrapText="1"/>
      <protection hidden="1"/>
    </xf>
    <xf numFmtId="0" fontId="12" fillId="0" borderId="11" xfId="1" applyFont="1" applyBorder="1" applyAlignment="1" applyProtection="1">
      <alignment horizontal="left" vertical="top" wrapText="1"/>
      <protection hidden="1"/>
    </xf>
    <xf numFmtId="0" fontId="8" fillId="0" borderId="1" xfId="1" applyFont="1" applyBorder="1" applyProtection="1">
      <protection hidden="1"/>
    </xf>
    <xf numFmtId="0" fontId="8" fillId="0" borderId="2" xfId="1" applyFont="1" applyBorder="1" applyProtection="1">
      <protection hidden="1"/>
    </xf>
    <xf numFmtId="0" fontId="13" fillId="0" borderId="1" xfId="1" applyFont="1" applyBorder="1" applyAlignment="1" applyProtection="1">
      <alignment horizontal="left"/>
      <protection hidden="1"/>
    </xf>
    <xf numFmtId="0" fontId="13" fillId="0" borderId="3" xfId="1" applyFont="1" applyBorder="1" applyAlignment="1" applyProtection="1">
      <alignment horizontal="center"/>
      <protection hidden="1"/>
    </xf>
    <xf numFmtId="0" fontId="8" fillId="0" borderId="5" xfId="1" applyFont="1" applyBorder="1" applyProtection="1">
      <protection hidden="1"/>
    </xf>
    <xf numFmtId="0" fontId="13" fillId="0" borderId="5" xfId="1" applyFont="1" applyBorder="1" applyAlignment="1" applyProtection="1">
      <alignment horizontal="left"/>
      <protection hidden="1"/>
    </xf>
    <xf numFmtId="0" fontId="13" fillId="0" borderId="10" xfId="1" applyFont="1" applyBorder="1" applyAlignment="1" applyProtection="1">
      <alignment horizontal="center"/>
      <protection hidden="1"/>
    </xf>
    <xf numFmtId="0" fontId="3" fillId="0" borderId="5" xfId="1" applyFont="1" applyBorder="1" applyAlignment="1" applyProtection="1">
      <alignment horizontal="left"/>
      <protection hidden="1"/>
    </xf>
    <xf numFmtId="0" fontId="3" fillId="0" borderId="10" xfId="1" quotePrefix="1" applyFont="1" applyBorder="1" applyAlignment="1" applyProtection="1">
      <alignment horizontal="center"/>
      <protection hidden="1"/>
    </xf>
    <xf numFmtId="0" fontId="13" fillId="0" borderId="10" xfId="1" quotePrefix="1" applyFont="1" applyBorder="1" applyAlignment="1" applyProtection="1">
      <alignment horizontal="center"/>
      <protection hidden="1"/>
    </xf>
    <xf numFmtId="0" fontId="3" fillId="0" borderId="10" xfId="1" applyFont="1" applyBorder="1" applyAlignment="1" applyProtection="1">
      <alignment horizontal="center"/>
      <protection hidden="1"/>
    </xf>
    <xf numFmtId="0" fontId="2" fillId="0" borderId="5" xfId="1" applyFont="1" applyBorder="1" applyProtection="1">
      <protection locked="0"/>
    </xf>
    <xf numFmtId="0" fontId="7" fillId="0" borderId="10" xfId="1" applyFont="1" applyBorder="1" applyProtection="1">
      <protection locked="0"/>
    </xf>
    <xf numFmtId="0" fontId="1" fillId="0" borderId="10" xfId="1" applyBorder="1" applyProtection="1">
      <protection locked="0"/>
    </xf>
    <xf numFmtId="0" fontId="3" fillId="7" borderId="0" xfId="1" quotePrefix="1" applyFont="1" applyFill="1" applyAlignment="1" applyProtection="1">
      <alignment horizontal="center"/>
      <protection hidden="1"/>
    </xf>
    <xf numFmtId="0" fontId="3" fillId="0" borderId="0" xfId="1" quotePrefix="1" applyFont="1" applyAlignment="1" applyProtection="1">
      <alignment horizontal="center"/>
      <protection hidden="1"/>
    </xf>
    <xf numFmtId="0" fontId="2" fillId="5" borderId="14" xfId="1" applyFont="1" applyFill="1" applyBorder="1" applyProtection="1">
      <protection locked="0"/>
    </xf>
    <xf numFmtId="0" fontId="2" fillId="0" borderId="6" xfId="1" applyFont="1" applyBorder="1" applyProtection="1">
      <protection locked="0"/>
    </xf>
    <xf numFmtId="0" fontId="2" fillId="0" borderId="16" xfId="1" applyFont="1" applyBorder="1" applyProtection="1">
      <protection locked="0"/>
    </xf>
    <xf numFmtId="0" fontId="15" fillId="0" borderId="7" xfId="1" applyFont="1" applyBorder="1" applyProtection="1">
      <protection locked="0"/>
    </xf>
    <xf numFmtId="0" fontId="3" fillId="0" borderId="6" xfId="1" applyFont="1" applyBorder="1" applyAlignment="1" applyProtection="1">
      <alignment horizontal="left"/>
      <protection hidden="1"/>
    </xf>
    <xf numFmtId="0" fontId="16" fillId="0" borderId="7" xfId="1" applyFont="1" applyBorder="1" applyAlignment="1" applyProtection="1">
      <alignment horizontal="left"/>
      <protection hidden="1"/>
    </xf>
    <xf numFmtId="0" fontId="13" fillId="0" borderId="6" xfId="1" applyFont="1" applyBorder="1" applyAlignment="1" applyProtection="1">
      <alignment horizontal="left"/>
      <protection hidden="1"/>
    </xf>
    <xf numFmtId="0" fontId="17" fillId="0" borderId="7" xfId="1" applyFont="1" applyBorder="1" applyAlignment="1" applyProtection="1">
      <alignment horizontal="left"/>
      <protection hidden="1"/>
    </xf>
    <xf numFmtId="0" fontId="1" fillId="0" borderId="5" xfId="1" applyBorder="1" applyAlignment="1" applyProtection="1">
      <alignment horizontal="right"/>
      <protection locked="0"/>
    </xf>
    <xf numFmtId="0" fontId="2" fillId="0" borderId="10" xfId="1" applyFont="1" applyBorder="1" applyProtection="1">
      <protection locked="0"/>
    </xf>
    <xf numFmtId="0" fontId="18" fillId="0" borderId="0" xfId="1" applyFont="1" applyProtection="1">
      <protection hidden="1"/>
    </xf>
    <xf numFmtId="0" fontId="19" fillId="0" borderId="0" xfId="1" applyFont="1" applyAlignment="1" applyProtection="1">
      <alignment horizontal="center"/>
      <protection hidden="1"/>
    </xf>
    <xf numFmtId="0" fontId="6" fillId="0" borderId="17" xfId="1" applyFont="1" applyBorder="1" applyProtection="1">
      <protection hidden="1"/>
    </xf>
    <xf numFmtId="0" fontId="20" fillId="0" borderId="7" xfId="1" applyFont="1" applyBorder="1" applyProtection="1">
      <protection locked="0"/>
    </xf>
    <xf numFmtId="0" fontId="1" fillId="0" borderId="0" xfId="1" quotePrefix="1" applyProtection="1">
      <protection hidden="1"/>
    </xf>
    <xf numFmtId="0" fontId="2" fillId="8" borderId="14" xfId="1" applyFont="1" applyFill="1" applyBorder="1" applyProtection="1">
      <protection hidden="1"/>
    </xf>
    <xf numFmtId="0" fontId="21" fillId="8" borderId="14" xfId="1" applyFont="1" applyFill="1" applyBorder="1" applyProtection="1">
      <protection locked="0"/>
    </xf>
    <xf numFmtId="0" fontId="1" fillId="9" borderId="14" xfId="1" applyFill="1" applyBorder="1" applyAlignment="1" applyProtection="1">
      <alignment horizontal="right"/>
      <protection locked="0"/>
    </xf>
    <xf numFmtId="0" fontId="19" fillId="9" borderId="14" xfId="1" applyFont="1" applyFill="1" applyBorder="1" applyProtection="1">
      <protection hidden="1"/>
    </xf>
    <xf numFmtId="0" fontId="1" fillId="9" borderId="14" xfId="1" applyFill="1" applyBorder="1" applyAlignment="1" applyProtection="1">
      <alignment horizontal="right"/>
      <protection hidden="1"/>
    </xf>
    <xf numFmtId="0" fontId="1" fillId="9" borderId="14" xfId="1" applyFill="1" applyBorder="1" applyProtection="1">
      <protection hidden="1"/>
    </xf>
    <xf numFmtId="0" fontId="1" fillId="0" borderId="0" xfId="1" applyProtection="1">
      <protection hidden="1"/>
    </xf>
    <xf numFmtId="0" fontId="10" fillId="0" borderId="0" xfId="1" applyFont="1" applyProtection="1">
      <protection hidden="1"/>
    </xf>
    <xf numFmtId="1" fontId="1" fillId="10" borderId="0" xfId="1" applyNumberFormat="1" applyFill="1" applyProtection="1">
      <protection hidden="1"/>
    </xf>
    <xf numFmtId="0" fontId="1" fillId="0" borderId="14" xfId="1" applyBorder="1" applyProtection="1">
      <protection hidden="1"/>
    </xf>
    <xf numFmtId="164" fontId="1" fillId="0" borderId="14" xfId="1" applyNumberFormat="1" applyBorder="1" applyAlignment="1" applyProtection="1">
      <alignment horizontal="left"/>
      <protection locked="0"/>
    </xf>
    <xf numFmtId="0" fontId="22" fillId="4" borderId="15" xfId="1" applyFont="1" applyFill="1" applyBorder="1" applyProtection="1">
      <protection hidden="1"/>
    </xf>
    <xf numFmtId="0" fontId="22" fillId="4" borderId="18" xfId="1" applyFont="1" applyFill="1" applyBorder="1" applyProtection="1">
      <protection hidden="1"/>
    </xf>
    <xf numFmtId="0" fontId="22" fillId="4" borderId="11" xfId="1" applyFont="1" applyFill="1" applyBorder="1" applyProtection="1">
      <protection hidden="1"/>
    </xf>
    <xf numFmtId="165" fontId="1" fillId="0" borderId="14" xfId="1" applyNumberFormat="1" applyBorder="1" applyAlignment="1" applyProtection="1">
      <alignment horizontal="left"/>
      <protection locked="0"/>
    </xf>
    <xf numFmtId="0" fontId="23" fillId="0" borderId="7" xfId="1" applyFont="1" applyBorder="1" applyProtection="1">
      <protection hidden="1"/>
    </xf>
    <xf numFmtId="0" fontId="23" fillId="0" borderId="8" xfId="1" applyFont="1" applyBorder="1" applyProtection="1">
      <protection hidden="1"/>
    </xf>
    <xf numFmtId="0" fontId="23" fillId="0" borderId="6" xfId="1" applyFont="1" applyBorder="1" applyProtection="1">
      <protection hidden="1"/>
    </xf>
    <xf numFmtId="0" fontId="6" fillId="0" borderId="16" xfId="1" applyFont="1" applyBorder="1" applyProtection="1">
      <protection hidden="1"/>
    </xf>
    <xf numFmtId="0" fontId="19" fillId="0" borderId="16" xfId="1" applyFont="1" applyBorder="1" applyAlignment="1" applyProtection="1">
      <alignment horizontal="center"/>
      <protection hidden="1"/>
    </xf>
    <xf numFmtId="0" fontId="2" fillId="0" borderId="16" xfId="1" applyFont="1" applyBorder="1" applyProtection="1">
      <protection hidden="1"/>
    </xf>
    <xf numFmtId="0" fontId="2" fillId="0" borderId="6" xfId="1" applyFont="1" applyBorder="1" applyProtection="1">
      <protection hidden="1"/>
    </xf>
    <xf numFmtId="0" fontId="1" fillId="0" borderId="10" xfId="1" applyBorder="1" applyProtection="1">
      <protection hidden="1"/>
    </xf>
    <xf numFmtId="0" fontId="1" fillId="0" borderId="19" xfId="1" applyBorder="1" applyProtection="1">
      <protection hidden="1"/>
    </xf>
    <xf numFmtId="0" fontId="1" fillId="0" borderId="5" xfId="1" applyBorder="1" applyProtection="1">
      <protection hidden="1"/>
    </xf>
    <xf numFmtId="0" fontId="6" fillId="0" borderId="0" xfId="1" applyFont="1" applyProtection="1">
      <protection hidden="1"/>
    </xf>
    <xf numFmtId="0" fontId="2" fillId="0" borderId="5" xfId="1" applyFont="1" applyBorder="1" applyProtection="1">
      <protection hidden="1"/>
    </xf>
    <xf numFmtId="49" fontId="1" fillId="0" borderId="14" xfId="1" applyNumberFormat="1" applyBorder="1" applyProtection="1">
      <protection locked="0"/>
    </xf>
    <xf numFmtId="0" fontId="24" fillId="0" borderId="0" xfId="1" applyFont="1" applyAlignment="1" applyProtection="1">
      <alignment horizontal="center"/>
      <protection hidden="1"/>
    </xf>
    <xf numFmtId="0" fontId="17" fillId="0" borderId="16" xfId="1" applyFont="1" applyBorder="1" applyAlignment="1" applyProtection="1">
      <alignment horizontal="left"/>
      <protection hidden="1"/>
    </xf>
    <xf numFmtId="0" fontId="13" fillId="0" borderId="16" xfId="1" applyFont="1" applyBorder="1" applyAlignment="1" applyProtection="1">
      <alignment horizontal="left"/>
      <protection hidden="1"/>
    </xf>
    <xf numFmtId="0" fontId="1" fillId="0" borderId="0" xfId="1" applyProtection="1">
      <protection locked="0"/>
    </xf>
    <xf numFmtId="0" fontId="25" fillId="0" borderId="0" xfId="1" applyFont="1" applyProtection="1">
      <protection hidden="1"/>
    </xf>
    <xf numFmtId="0" fontId="13" fillId="0" borderId="0" xfId="1" quotePrefix="1" applyFont="1" applyAlignment="1" applyProtection="1">
      <alignment horizontal="center"/>
      <protection hidden="1"/>
    </xf>
    <xf numFmtId="0" fontId="13" fillId="0" borderId="0" xfId="1" applyFont="1" applyAlignment="1" applyProtection="1">
      <alignment horizontal="left"/>
      <protection hidden="1"/>
    </xf>
    <xf numFmtId="0" fontId="13" fillId="0" borderId="5" xfId="1" applyFont="1" applyBorder="1" applyProtection="1">
      <protection hidden="1"/>
    </xf>
    <xf numFmtId="0" fontId="13" fillId="0" borderId="0" xfId="1" applyFont="1" applyProtection="1">
      <protection locked="0"/>
    </xf>
    <xf numFmtId="166" fontId="25" fillId="0" borderId="0" xfId="1" applyNumberFormat="1" applyFont="1" applyProtection="1">
      <protection hidden="1"/>
    </xf>
    <xf numFmtId="0" fontId="3" fillId="0" borderId="19" xfId="1" applyFont="1" applyBorder="1" applyProtection="1">
      <protection hidden="1"/>
    </xf>
    <xf numFmtId="0" fontId="13" fillId="0" borderId="0" xfId="1" applyFont="1" applyProtection="1">
      <protection hidden="1"/>
    </xf>
    <xf numFmtId="0" fontId="1" fillId="0" borderId="4" xfId="1" applyBorder="1" applyAlignment="1" applyProtection="1">
      <alignment horizontal="left"/>
      <protection hidden="1"/>
    </xf>
    <xf numFmtId="9" fontId="1" fillId="11" borderId="14" xfId="2" applyFont="1" applyFill="1" applyBorder="1" applyProtection="1">
      <protection locked="0" hidden="1"/>
    </xf>
    <xf numFmtId="167" fontId="1" fillId="4" borderId="14" xfId="1" applyNumberFormat="1" applyFill="1" applyBorder="1" applyAlignment="1" applyProtection="1">
      <alignment horizontal="left"/>
      <protection locked="0"/>
    </xf>
    <xf numFmtId="0" fontId="2" fillId="0" borderId="0" xfId="1" applyFont="1" applyAlignment="1" applyProtection="1">
      <alignment horizontal="left"/>
      <protection locked="0"/>
    </xf>
    <xf numFmtId="0" fontId="3" fillId="0" borderId="14" xfId="1" applyFont="1" applyBorder="1" applyProtection="1">
      <protection hidden="1"/>
    </xf>
    <xf numFmtId="0" fontId="1" fillId="0" borderId="14" xfId="1" applyBorder="1" applyAlignment="1" applyProtection="1">
      <alignment horizontal="left"/>
      <protection locked="0"/>
    </xf>
    <xf numFmtId="1" fontId="1" fillId="0" borderId="0" xfId="1" applyNumberFormat="1" applyAlignment="1" applyProtection="1">
      <alignment horizontal="center"/>
      <protection hidden="1"/>
    </xf>
    <xf numFmtId="0" fontId="2" fillId="0" borderId="19" xfId="1" applyFont="1" applyBorder="1" applyProtection="1">
      <protection hidden="1"/>
    </xf>
    <xf numFmtId="166" fontId="3" fillId="0" borderId="19" xfId="1" applyNumberFormat="1" applyFont="1" applyBorder="1" applyProtection="1">
      <protection hidden="1"/>
    </xf>
    <xf numFmtId="0" fontId="13" fillId="0" borderId="0" xfId="1" applyFont="1" applyAlignment="1" applyProtection="1">
      <alignment horizontal="center"/>
      <protection hidden="1"/>
    </xf>
    <xf numFmtId="167" fontId="1" fillId="0" borderId="14" xfId="1" applyNumberFormat="1" applyBorder="1" applyAlignment="1" applyProtection="1">
      <alignment horizontal="left"/>
      <protection locked="0"/>
    </xf>
    <xf numFmtId="0" fontId="28" fillId="0" borderId="0" xfId="1" applyFont="1" applyAlignment="1" applyProtection="1">
      <alignment horizontal="right"/>
      <protection locked="0"/>
    </xf>
    <xf numFmtId="0" fontId="3" fillId="0" borderId="0" xfId="1" applyFont="1" applyAlignment="1" applyProtection="1">
      <alignment horizontal="left"/>
      <protection locked="0"/>
    </xf>
    <xf numFmtId="167" fontId="1" fillId="0" borderId="0" xfId="1" applyNumberFormat="1" applyProtection="1">
      <protection hidden="1"/>
    </xf>
    <xf numFmtId="1" fontId="1" fillId="0" borderId="14" xfId="1" applyNumberFormat="1" applyBorder="1" applyAlignment="1" applyProtection="1">
      <alignment horizontal="left"/>
      <protection locked="0"/>
    </xf>
    <xf numFmtId="0" fontId="2" fillId="0" borderId="4" xfId="1" applyFont="1" applyBorder="1" applyProtection="1">
      <protection hidden="1"/>
    </xf>
    <xf numFmtId="0" fontId="1" fillId="0" borderId="7" xfId="1" applyBorder="1" applyProtection="1">
      <protection hidden="1"/>
    </xf>
    <xf numFmtId="0" fontId="29" fillId="0" borderId="0" xfId="1" applyFont="1" applyAlignment="1" applyProtection="1">
      <alignment horizontal="center"/>
      <protection locked="0"/>
    </xf>
    <xf numFmtId="1" fontId="13" fillId="0" borderId="19" xfId="1" applyNumberFormat="1" applyFont="1" applyBorder="1" applyAlignment="1" applyProtection="1">
      <alignment horizontal="right"/>
      <protection hidden="1"/>
    </xf>
    <xf numFmtId="167" fontId="1" fillId="0" borderId="14" xfId="1" applyNumberFormat="1" applyBorder="1" applyAlignment="1" applyProtection="1">
      <alignment horizontal="center"/>
      <protection locked="0"/>
    </xf>
    <xf numFmtId="0" fontId="1" fillId="0" borderId="15" xfId="1" applyBorder="1" applyProtection="1">
      <protection hidden="1"/>
    </xf>
    <xf numFmtId="167" fontId="1" fillId="4" borderId="14" xfId="1" applyNumberFormat="1" applyFill="1" applyBorder="1" applyAlignment="1" applyProtection="1">
      <alignment horizontal="center"/>
      <protection locked="0"/>
    </xf>
    <xf numFmtId="0" fontId="8" fillId="0" borderId="0" xfId="1" applyFont="1" applyProtection="1">
      <protection locked="0"/>
    </xf>
    <xf numFmtId="0" fontId="31" fillId="0" borderId="0" xfId="1" applyFont="1" applyAlignment="1" applyProtection="1">
      <alignment horizontal="right"/>
      <protection hidden="1"/>
    </xf>
    <xf numFmtId="0" fontId="1" fillId="0" borderId="3" xfId="1" applyBorder="1" applyProtection="1">
      <protection hidden="1"/>
    </xf>
    <xf numFmtId="0" fontId="8" fillId="0" borderId="4" xfId="1" applyFont="1" applyBorder="1" applyProtection="1">
      <protection hidden="1"/>
    </xf>
    <xf numFmtId="0" fontId="2" fillId="0" borderId="0" xfId="1" applyFont="1" applyAlignment="1" applyProtection="1">
      <alignment wrapText="1"/>
      <protection hidden="1"/>
    </xf>
    <xf numFmtId="0" fontId="18" fillId="0" borderId="16" xfId="1" applyFont="1" applyBorder="1" applyAlignment="1" applyProtection="1">
      <alignment vertical="center"/>
      <protection hidden="1"/>
    </xf>
    <xf numFmtId="0" fontId="1" fillId="12" borderId="0" xfId="1" applyFill="1" applyProtection="1">
      <protection hidden="1"/>
    </xf>
    <xf numFmtId="0" fontId="18" fillId="0" borderId="2" xfId="1" applyFont="1" applyBorder="1" applyAlignment="1" applyProtection="1">
      <alignment vertical="center"/>
      <protection hidden="1"/>
    </xf>
    <xf numFmtId="0" fontId="11" fillId="8" borderId="15" xfId="1" applyFont="1" applyFill="1" applyBorder="1" applyAlignment="1" applyProtection="1">
      <alignment horizontal="center"/>
      <protection locked="0"/>
    </xf>
    <xf numFmtId="0" fontId="11" fillId="8" borderId="14" xfId="1" applyFont="1" applyFill="1" applyBorder="1" applyAlignment="1" applyProtection="1">
      <alignment horizontal="center"/>
      <protection hidden="1"/>
    </xf>
    <xf numFmtId="0" fontId="1" fillId="0" borderId="15" xfId="1" applyBorder="1" applyAlignment="1" applyProtection="1">
      <alignment horizontal="center"/>
      <protection locked="0"/>
    </xf>
    <xf numFmtId="0" fontId="1" fillId="0" borderId="14" xfId="1" applyBorder="1" applyAlignment="1" applyProtection="1">
      <alignment horizontal="center"/>
      <protection locked="0"/>
    </xf>
    <xf numFmtId="0" fontId="32" fillId="0" borderId="0" xfId="1" applyFont="1" applyProtection="1">
      <protection hidden="1"/>
    </xf>
    <xf numFmtId="0" fontId="3" fillId="5" borderId="14" xfId="1" applyFont="1" applyFill="1" applyBorder="1" applyAlignment="1" applyProtection="1">
      <alignment horizontal="left"/>
      <protection locked="0" hidden="1"/>
    </xf>
    <xf numFmtId="0" fontId="3" fillId="0" borderId="14" xfId="1" applyFont="1" applyBorder="1" applyProtection="1">
      <protection locked="0" hidden="1"/>
    </xf>
    <xf numFmtId="0" fontId="3" fillId="0" borderId="14" xfId="1" applyFont="1" applyBorder="1" applyAlignment="1" applyProtection="1">
      <alignment horizontal="center"/>
      <protection locked="0" hidden="1"/>
    </xf>
    <xf numFmtId="0" fontId="3" fillId="0" borderId="10" xfId="1" applyFont="1" applyBorder="1" applyAlignment="1" applyProtection="1">
      <alignment horizontal="left"/>
      <protection locked="0" hidden="1"/>
    </xf>
    <xf numFmtId="0" fontId="3" fillId="12" borderId="0" xfId="1" applyFont="1" applyFill="1" applyProtection="1">
      <protection hidden="1"/>
    </xf>
    <xf numFmtId="0" fontId="10" fillId="4" borderId="14" xfId="1" applyFont="1" applyFill="1" applyBorder="1" applyAlignment="1" applyProtection="1">
      <alignment horizontal="center"/>
      <protection locked="0"/>
    </xf>
    <xf numFmtId="0" fontId="10" fillId="0" borderId="14" xfId="1" applyFont="1" applyBorder="1" applyAlignment="1" applyProtection="1">
      <alignment horizontal="center"/>
      <protection locked="0"/>
    </xf>
    <xf numFmtId="0" fontId="33" fillId="0" borderId="0" xfId="1" applyFont="1" applyAlignment="1" applyProtection="1">
      <alignment vertical="center" wrapText="1"/>
      <protection hidden="1"/>
    </xf>
    <xf numFmtId="0" fontId="1" fillId="4" borderId="14" xfId="1" applyFill="1" applyBorder="1" applyAlignment="1" applyProtection="1">
      <alignment horizontal="center"/>
      <protection locked="0"/>
    </xf>
    <xf numFmtId="0" fontId="33" fillId="0" borderId="0" xfId="1" applyFont="1" applyProtection="1">
      <protection locked="0"/>
    </xf>
    <xf numFmtId="0" fontId="11" fillId="0" borderId="14" xfId="1" applyFont="1" applyBorder="1" applyAlignment="1" applyProtection="1">
      <alignment horizontal="right"/>
      <protection hidden="1"/>
    </xf>
    <xf numFmtId="0" fontId="3" fillId="0" borderId="3" xfId="1" applyFont="1" applyBorder="1" applyAlignment="1" applyProtection="1">
      <alignment horizontal="left"/>
      <protection locked="0" hidden="1"/>
    </xf>
    <xf numFmtId="0" fontId="13" fillId="0" borderId="2" xfId="1" applyFont="1" applyBorder="1" applyAlignment="1" applyProtection="1">
      <alignment horizontal="left"/>
      <protection hidden="1"/>
    </xf>
    <xf numFmtId="0" fontId="7" fillId="0" borderId="0" xfId="1" applyFont="1" applyProtection="1">
      <protection locked="0"/>
    </xf>
    <xf numFmtId="49" fontId="19" fillId="9" borderId="14" xfId="1" applyNumberFormat="1" applyFont="1" applyFill="1" applyBorder="1" applyProtection="1">
      <protection hidden="1"/>
    </xf>
    <xf numFmtId="20" fontId="1" fillId="0" borderId="4" xfId="1" applyNumberFormat="1" applyBorder="1" applyAlignment="1" applyProtection="1">
      <alignment horizontal="left"/>
      <protection hidden="1"/>
    </xf>
    <xf numFmtId="0" fontId="30" fillId="0" borderId="7" xfId="1" applyFont="1" applyBorder="1" applyAlignment="1" applyProtection="1">
      <alignment horizontal="center"/>
      <protection hidden="1"/>
    </xf>
    <xf numFmtId="0" fontId="30" fillId="0" borderId="16" xfId="1" applyFont="1" applyBorder="1" applyAlignment="1" applyProtection="1">
      <alignment horizontal="center"/>
      <protection hidden="1"/>
    </xf>
    <xf numFmtId="0" fontId="1" fillId="9" borderId="15" xfId="1" applyFill="1" applyBorder="1" applyAlignment="1" applyProtection="1">
      <alignment horizontal="left"/>
      <protection hidden="1"/>
    </xf>
    <xf numFmtId="0" fontId="1" fillId="9" borderId="18" xfId="1" applyFill="1" applyBorder="1" applyAlignment="1" applyProtection="1">
      <alignment horizontal="left"/>
      <protection hidden="1"/>
    </xf>
    <xf numFmtId="0" fontId="1" fillId="9" borderId="11" xfId="1" applyFill="1" applyBorder="1" applyAlignment="1" applyProtection="1">
      <alignment horizontal="left"/>
      <protection hidden="1"/>
    </xf>
    <xf numFmtId="0" fontId="10" fillId="4" borderId="14" xfId="1" applyFont="1" applyFill="1" applyBorder="1" applyAlignment="1" applyProtection="1">
      <alignment horizontal="left"/>
      <protection locked="0"/>
    </xf>
    <xf numFmtId="0" fontId="26" fillId="0" borderId="5" xfId="1" applyFont="1" applyBorder="1" applyAlignment="1" applyProtection="1">
      <alignment horizontal="center" wrapText="1"/>
      <protection hidden="1"/>
    </xf>
    <xf numFmtId="0" fontId="23" fillId="0" borderId="8" xfId="1" applyFont="1" applyBorder="1" applyAlignment="1" applyProtection="1">
      <alignment horizontal="center" wrapText="1"/>
      <protection hidden="1"/>
    </xf>
    <xf numFmtId="0" fontId="23" fillId="0" borderId="19" xfId="1" applyFont="1" applyBorder="1" applyAlignment="1" applyProtection="1">
      <alignment horizontal="center" wrapText="1"/>
      <protection hidden="1"/>
    </xf>
    <xf numFmtId="0" fontId="27" fillId="0" borderId="10" xfId="1" applyFont="1" applyBorder="1" applyAlignment="1" applyProtection="1">
      <alignment horizontal="left" vertical="top" wrapText="1"/>
      <protection locked="0"/>
    </xf>
    <xf numFmtId="0" fontId="27" fillId="0" borderId="0" xfId="1" applyFont="1" applyAlignment="1" applyProtection="1">
      <alignment horizontal="left" vertical="top" wrapText="1"/>
      <protection locked="0"/>
    </xf>
    <xf numFmtId="0" fontId="4" fillId="0" borderId="0" xfId="1" quotePrefix="1" applyFont="1" applyAlignment="1" applyProtection="1">
      <alignment horizontal="center" vertical="center" wrapText="1"/>
      <protection hidden="1"/>
    </xf>
    <xf numFmtId="0" fontId="4" fillId="0" borderId="5" xfId="1" quotePrefix="1" applyFont="1" applyBorder="1" applyAlignment="1" applyProtection="1">
      <alignment horizontal="center" vertical="center" wrapText="1"/>
      <protection hidden="1"/>
    </xf>
    <xf numFmtId="0" fontId="34" fillId="0" borderId="7" xfId="1" applyFont="1" applyBorder="1" applyAlignment="1" applyProtection="1">
      <alignment horizontal="center" vertical="center" wrapText="1"/>
      <protection hidden="1"/>
    </xf>
    <xf numFmtId="0" fontId="34" fillId="0" borderId="6" xfId="1" applyFont="1" applyBorder="1" applyAlignment="1" applyProtection="1">
      <alignment horizontal="center" vertical="center" wrapText="1"/>
      <protection hidden="1"/>
    </xf>
    <xf numFmtId="0" fontId="34" fillId="0" borderId="10" xfId="1" applyFont="1" applyBorder="1" applyAlignment="1" applyProtection="1">
      <alignment horizontal="center" vertical="center" wrapText="1"/>
      <protection hidden="1"/>
    </xf>
    <xf numFmtId="0" fontId="34" fillId="0" borderId="5" xfId="1" applyFont="1" applyBorder="1" applyAlignment="1" applyProtection="1">
      <alignment horizontal="center" vertical="center" wrapText="1"/>
      <protection hidden="1"/>
    </xf>
    <xf numFmtId="0" fontId="34" fillId="0" borderId="3" xfId="1" applyFont="1" applyBorder="1" applyAlignment="1" applyProtection="1">
      <alignment horizontal="center" vertical="center" wrapText="1"/>
      <protection hidden="1"/>
    </xf>
    <xf numFmtId="0" fontId="34" fillId="0" borderId="1" xfId="1" applyFont="1" applyBorder="1" applyAlignment="1" applyProtection="1">
      <alignment horizontal="center" vertical="center" wrapText="1"/>
      <protection hidden="1"/>
    </xf>
    <xf numFmtId="0" fontId="6" fillId="0" borderId="15" xfId="1" applyFont="1" applyBorder="1" applyAlignment="1" applyProtection="1">
      <alignment horizontal="center"/>
      <protection locked="0"/>
    </xf>
    <xf numFmtId="0" fontId="6" fillId="0" borderId="11" xfId="1" applyFont="1" applyBorder="1" applyAlignment="1" applyProtection="1">
      <alignment horizontal="center"/>
      <protection locked="0"/>
    </xf>
    <xf numFmtId="0" fontId="8" fillId="0" borderId="14" xfId="1" applyFont="1" applyBorder="1" applyAlignment="1" applyProtection="1">
      <alignment horizontal="left"/>
      <protection locked="0"/>
    </xf>
    <xf numFmtId="0" fontId="3" fillId="0" borderId="10" xfId="1" applyFont="1" applyBorder="1" applyAlignment="1" applyProtection="1">
      <alignment horizontal="center" wrapText="1"/>
      <protection hidden="1"/>
    </xf>
    <xf numFmtId="0" fontId="3" fillId="0" borderId="0" xfId="1" applyFont="1" applyAlignment="1" applyProtection="1">
      <alignment horizontal="center" wrapText="1"/>
      <protection hidden="1"/>
    </xf>
    <xf numFmtId="0" fontId="2" fillId="5" borderId="15" xfId="1" applyFont="1" applyFill="1" applyBorder="1" applyAlignment="1" applyProtection="1">
      <alignment horizontal="center"/>
      <protection locked="0"/>
    </xf>
    <xf numFmtId="0" fontId="2" fillId="5" borderId="11" xfId="1" applyFont="1" applyFill="1" applyBorder="1" applyAlignment="1" applyProtection="1">
      <alignment horizontal="center"/>
      <protection locked="0"/>
    </xf>
    <xf numFmtId="0" fontId="19" fillId="0" borderId="7" xfId="1" applyFont="1" applyBorder="1" applyAlignment="1" applyProtection="1">
      <alignment horizontal="left" wrapText="1"/>
      <protection hidden="1"/>
    </xf>
    <xf numFmtId="0" fontId="19" fillId="0" borderId="16" xfId="1" applyFont="1" applyBorder="1" applyAlignment="1" applyProtection="1">
      <alignment horizontal="left" wrapText="1"/>
      <protection hidden="1"/>
    </xf>
    <xf numFmtId="0" fontId="19" fillId="0" borderId="10" xfId="1" applyFont="1" applyBorder="1" applyAlignment="1" applyProtection="1">
      <alignment horizontal="left" wrapText="1"/>
      <protection hidden="1"/>
    </xf>
    <xf numFmtId="0" fontId="19" fillId="0" borderId="0" xfId="1" applyFont="1" applyAlignment="1" applyProtection="1">
      <alignment horizontal="left" wrapText="1"/>
      <protection hidden="1"/>
    </xf>
    <xf numFmtId="0" fontId="2" fillId="0" borderId="14" xfId="1" applyFont="1" applyBorder="1" applyAlignment="1" applyProtection="1">
      <alignment horizontal="center" vertical="top"/>
      <protection hidden="1"/>
    </xf>
    <xf numFmtId="0" fontId="3" fillId="0" borderId="14" xfId="1" applyFont="1" applyBorder="1" applyAlignment="1" applyProtection="1">
      <alignment horizontal="left" vertical="top" wrapText="1"/>
      <protection hidden="1"/>
    </xf>
    <xf numFmtId="0" fontId="20" fillId="0" borderId="16" xfId="1" applyFont="1" applyBorder="1" applyAlignment="1">
      <alignment horizontal="center"/>
    </xf>
    <xf numFmtId="0" fontId="20" fillId="0" borderId="6" xfId="1" applyFont="1" applyBorder="1" applyAlignment="1">
      <alignment horizontal="center"/>
    </xf>
    <xf numFmtId="0" fontId="3" fillId="0" borderId="10" xfId="1" applyFont="1" applyBorder="1" applyAlignment="1" applyProtection="1">
      <alignment horizontal="left" vertical="top" wrapText="1"/>
      <protection locked="0"/>
    </xf>
    <xf numFmtId="0" fontId="3" fillId="0" borderId="0" xfId="1" applyFont="1" applyAlignment="1" applyProtection="1">
      <alignment horizontal="left" vertical="top" wrapText="1"/>
      <protection locked="0"/>
    </xf>
    <xf numFmtId="0" fontId="3" fillId="0" borderId="5" xfId="1" applyFont="1" applyBorder="1" applyAlignment="1" applyProtection="1">
      <alignment horizontal="left" vertical="top" wrapText="1"/>
      <protection locked="0"/>
    </xf>
    <xf numFmtId="0" fontId="3" fillId="0" borderId="3" xfId="1" applyFont="1" applyBorder="1" applyAlignment="1" applyProtection="1">
      <alignment horizontal="left" vertical="top" wrapText="1"/>
      <protection locked="0"/>
    </xf>
    <xf numFmtId="0" fontId="3" fillId="0" borderId="2" xfId="1" applyFont="1" applyBorder="1" applyAlignment="1" applyProtection="1">
      <alignment horizontal="left" vertical="top" wrapText="1"/>
      <protection locked="0"/>
    </xf>
    <xf numFmtId="0" fontId="3" fillId="0" borderId="1" xfId="1" applyFont="1" applyBorder="1" applyAlignment="1" applyProtection="1">
      <alignment horizontal="left" vertical="top" wrapText="1"/>
      <protection locked="0"/>
    </xf>
    <xf numFmtId="0" fontId="3" fillId="0" borderId="9" xfId="1" applyFont="1" applyBorder="1" applyAlignment="1" applyProtection="1">
      <alignment horizontal="center"/>
      <protection locked="0"/>
    </xf>
    <xf numFmtId="14" fontId="6" fillId="0" borderId="8" xfId="1" applyNumberFormat="1" applyFont="1" applyBorder="1" applyAlignment="1" applyProtection="1">
      <alignment horizontal="center" vertical="center"/>
      <protection locked="0"/>
    </xf>
    <xf numFmtId="14" fontId="6" fillId="0" borderId="4" xfId="1" applyNumberFormat="1" applyFont="1" applyBorder="1" applyAlignment="1" applyProtection="1">
      <alignment horizontal="center" vertical="center"/>
      <protection locked="0"/>
    </xf>
    <xf numFmtId="0" fontId="5" fillId="0" borderId="7" xfId="1" applyFont="1" applyBorder="1" applyAlignment="1" applyProtection="1">
      <alignment horizontal="center" vertical="center"/>
      <protection locked="0"/>
    </xf>
    <xf numFmtId="0" fontId="5" fillId="0" borderId="6" xfId="1" applyFont="1" applyBorder="1" applyAlignment="1" applyProtection="1">
      <alignment horizontal="center" vertical="center"/>
      <protection locked="0"/>
    </xf>
    <xf numFmtId="0" fontId="5" fillId="0" borderId="3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4" fillId="0" borderId="5" xfId="1" applyFont="1" applyBorder="1" applyAlignment="1" applyProtection="1">
      <alignment horizontal="center" vertical="center"/>
      <protection locked="0"/>
    </xf>
    <xf numFmtId="0" fontId="4" fillId="0" borderId="2" xfId="1" applyFont="1" applyBorder="1" applyAlignment="1" applyProtection="1">
      <alignment horizontal="center" vertical="center"/>
      <protection locked="0"/>
    </xf>
    <xf numFmtId="0" fontId="4" fillId="0" borderId="1" xfId="1" applyFont="1" applyBorder="1" applyAlignment="1" applyProtection="1">
      <alignment horizontal="center" vertical="center"/>
      <protection locked="0"/>
    </xf>
  </cellXfs>
  <cellStyles count="3">
    <cellStyle name="Normal" xfId="0" builtinId="0"/>
    <cellStyle name="Normal 2" xfId="1"/>
    <cellStyle name="Procent 2" xfId="2"/>
  </cellStyles>
  <dxfs count="21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ont>
        <b/>
        <i val="0"/>
        <color auto="1"/>
      </font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rgb="FFFF0000"/>
      </font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tes\Husec-Certifiering\Certifieringsprojekt\HUO035\HUO035%2520f-jour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S"/>
      <sheetName val="PM Eng"/>
      <sheetName val="X"/>
      <sheetName val="o"/>
      <sheetName val="kf"/>
      <sheetName val="PM"/>
      <sheetName val="Fältkort"/>
      <sheetName val="Rapp"/>
      <sheetName val="L"/>
      <sheetName val="Avvik"/>
      <sheetName val="Komm"/>
      <sheetName val="Check"/>
      <sheetName val="Sprutplan"/>
      <sheetName val="Sponsor"/>
      <sheetName val="Tx"/>
      <sheetName val="Spr1"/>
      <sheetName val="Og1"/>
      <sheetName val="Spr2"/>
      <sheetName val="Og2"/>
      <sheetName val="Spr3"/>
      <sheetName val="Og3"/>
      <sheetName val="Spr4"/>
      <sheetName val="Og4"/>
      <sheetName val="Maskiner"/>
      <sheetName val="F1"/>
      <sheetName val="F2"/>
      <sheetName val="F3"/>
      <sheetName val="F4"/>
      <sheetName val="F5"/>
      <sheetName val="F6"/>
      <sheetName val="F7"/>
      <sheetName val="F8"/>
      <sheetName val="Instr"/>
      <sheetName val="Grad"/>
      <sheetName val="G1"/>
      <sheetName val="G2"/>
      <sheetName val="G3"/>
      <sheetName val="G4"/>
      <sheetName val="G5"/>
      <sheetName val="G6"/>
      <sheetName val="G7"/>
      <sheetName val="G8"/>
      <sheetName val="SOP1"/>
      <sheetName val="Skörd"/>
    </sheetNames>
    <sheetDataSet>
      <sheetData sheetId="0"/>
      <sheetData sheetId="1"/>
      <sheetData sheetId="2"/>
      <sheetData sheetId="3">
        <row r="11">
          <cell r="AE11" t="str">
            <v>annuella gräs</v>
          </cell>
        </row>
        <row r="12">
          <cell r="AE12" t="str">
            <v>arv, röd-</v>
          </cell>
        </row>
        <row r="13">
          <cell r="AE13" t="str">
            <v>arv, våt-</v>
          </cell>
        </row>
        <row r="14">
          <cell r="AE14" t="str">
            <v>baldersbrå</v>
          </cell>
        </row>
        <row r="15">
          <cell r="AE15" t="str">
            <v>bitterpilört</v>
          </cell>
        </row>
        <row r="16">
          <cell r="AE16" t="str">
            <v>blåklint</v>
          </cell>
        </row>
        <row r="17">
          <cell r="AE17" t="str">
            <v>brännässla</v>
          </cell>
        </row>
        <row r="18">
          <cell r="AE18" t="str">
            <v>dån</v>
          </cell>
        </row>
        <row r="19">
          <cell r="AE19" t="str">
            <v>dån, hamp-</v>
          </cell>
        </row>
        <row r="20">
          <cell r="AE20" t="str">
            <v>dån, mjuk-</v>
          </cell>
        </row>
        <row r="21">
          <cell r="AE21" t="str">
            <v>dån, pip-</v>
          </cell>
        </row>
        <row r="22">
          <cell r="AE22" t="str">
            <v>dån, topp-</v>
          </cell>
        </row>
        <row r="23">
          <cell r="AE23" t="str">
            <v>engelskt rajgräs</v>
          </cell>
        </row>
        <row r="24">
          <cell r="AE24" t="str">
            <v>etternässla</v>
          </cell>
        </row>
        <row r="25">
          <cell r="AE25" t="str">
            <v>fliknäva</v>
          </cell>
        </row>
        <row r="26">
          <cell r="AE26" t="str">
            <v>flikpilister</v>
          </cell>
        </row>
        <row r="27">
          <cell r="AE27" t="str">
            <v>flyghavre</v>
          </cell>
        </row>
        <row r="28">
          <cell r="AE28" t="str">
            <v>fräken, åker-</v>
          </cell>
        </row>
        <row r="29">
          <cell r="AE29" t="str">
            <v>fältveronika</v>
          </cell>
        </row>
        <row r="30">
          <cell r="AE30" t="str">
            <v>förgätmigej</v>
          </cell>
        </row>
        <row r="31">
          <cell r="AE31" t="str">
            <v>förgätmigej, åker-</v>
          </cell>
        </row>
        <row r="32">
          <cell r="AE32" t="str">
            <v>gatkamomill</v>
          </cell>
        </row>
        <row r="33">
          <cell r="AE33" t="str">
            <v>groblad</v>
          </cell>
        </row>
        <row r="34">
          <cell r="AE34" t="str">
            <v>gräs, annuell</v>
          </cell>
        </row>
        <row r="35">
          <cell r="AE35" t="str">
            <v>gröe, vit-</v>
          </cell>
        </row>
        <row r="36">
          <cell r="AE36" t="str">
            <v>gulmåra</v>
          </cell>
        </row>
        <row r="37">
          <cell r="AE37" t="str">
            <v>gyllen, sommar-</v>
          </cell>
        </row>
        <row r="38">
          <cell r="AE38" t="str">
            <v>gyllen, åker-</v>
          </cell>
        </row>
        <row r="39">
          <cell r="AE39" t="str">
            <v>hampdån</v>
          </cell>
        </row>
        <row r="40">
          <cell r="AE40" t="str">
            <v>harkål</v>
          </cell>
        </row>
        <row r="41">
          <cell r="AE41" t="str">
            <v>havre, flyg-</v>
          </cell>
        </row>
        <row r="42">
          <cell r="AE42" t="str">
            <v>havre, spill-</v>
          </cell>
        </row>
        <row r="43">
          <cell r="AE43" t="str">
            <v>hirs, höns-</v>
          </cell>
        </row>
        <row r="44">
          <cell r="AE44" t="str">
            <v>hästhov</v>
          </cell>
        </row>
        <row r="45">
          <cell r="AE45" t="str">
            <v>hönshirs</v>
          </cell>
        </row>
        <row r="46">
          <cell r="AE46" t="str">
            <v>ital rajgräs</v>
          </cell>
        </row>
        <row r="47">
          <cell r="AE47" t="str">
            <v>jordrök</v>
          </cell>
        </row>
        <row r="48">
          <cell r="AE48" t="str">
            <v>kamomill, gat-</v>
          </cell>
        </row>
        <row r="49">
          <cell r="AE49" t="str">
            <v>kamomill, vanlig</v>
          </cell>
        </row>
        <row r="50">
          <cell r="AE50" t="str">
            <v>kirskål</v>
          </cell>
        </row>
        <row r="51">
          <cell r="AE51" t="str">
            <v>knölsyska</v>
          </cell>
        </row>
        <row r="52">
          <cell r="AE52" t="str">
            <v>korn, spill-</v>
          </cell>
        </row>
        <row r="53">
          <cell r="AE53" t="str">
            <v>kornvallmo</v>
          </cell>
        </row>
        <row r="54">
          <cell r="AE54" t="str">
            <v>korsört</v>
          </cell>
        </row>
        <row r="55">
          <cell r="AE55" t="str">
            <v>kvickrot</v>
          </cell>
        </row>
        <row r="56">
          <cell r="AE56" t="str">
            <v>kämpar, röd-</v>
          </cell>
        </row>
        <row r="57">
          <cell r="AE57" t="str">
            <v>kämpar, svart-</v>
          </cell>
        </row>
        <row r="58">
          <cell r="AE58" t="str">
            <v>lomme</v>
          </cell>
        </row>
        <row r="59">
          <cell r="AE59" t="str">
            <v>majveronika</v>
          </cell>
        </row>
        <row r="60">
          <cell r="AE60" t="str">
            <v>maskros</v>
          </cell>
        </row>
        <row r="61">
          <cell r="AE61" t="str">
            <v>mjukdån</v>
          </cell>
        </row>
        <row r="62">
          <cell r="AE62" t="str">
            <v>mjuknäva</v>
          </cell>
        </row>
        <row r="64">
          <cell r="AE64" t="str">
            <v>molke, åker-</v>
          </cell>
        </row>
        <row r="65">
          <cell r="AE65" t="str">
            <v>murgrönsveronika</v>
          </cell>
        </row>
        <row r="66">
          <cell r="AE66" t="str">
            <v>målla</v>
          </cell>
        </row>
        <row r="67">
          <cell r="AE67" t="str">
            <v>målla, svin-</v>
          </cell>
        </row>
        <row r="68">
          <cell r="AE68" t="str">
            <v>målla, väg-</v>
          </cell>
        </row>
        <row r="69">
          <cell r="AE69" t="str">
            <v>måra, gul-</v>
          </cell>
        </row>
        <row r="70">
          <cell r="AE70" t="str">
            <v>måra, snärj-</v>
          </cell>
        </row>
        <row r="71">
          <cell r="AE71" t="str">
            <v>nässla, bränn-</v>
          </cell>
        </row>
        <row r="72">
          <cell r="AE72" t="str">
            <v>nässla, etter-</v>
          </cell>
        </row>
        <row r="73">
          <cell r="AE73" t="str">
            <v>näva, flik-</v>
          </cell>
        </row>
        <row r="74">
          <cell r="AE74" t="str">
            <v>näva, mjuk-</v>
          </cell>
        </row>
        <row r="75">
          <cell r="AE75" t="str">
            <v>näva, skat-</v>
          </cell>
        </row>
        <row r="76">
          <cell r="AE76" t="str">
            <v>näva, sparv-</v>
          </cell>
        </row>
        <row r="77">
          <cell r="AE77" t="str">
            <v>näva, stink-</v>
          </cell>
        </row>
        <row r="78">
          <cell r="AE78" t="str">
            <v>ogräs ospec</v>
          </cell>
        </row>
        <row r="79">
          <cell r="AE79" t="str">
            <v>penningört</v>
          </cell>
        </row>
        <row r="80">
          <cell r="AE80" t="str">
            <v>pilört</v>
          </cell>
        </row>
        <row r="81">
          <cell r="AE81" t="str">
            <v>pilört, bitter-</v>
          </cell>
        </row>
        <row r="82">
          <cell r="AE82" t="str">
            <v>pilört, vanlig</v>
          </cell>
        </row>
        <row r="83">
          <cell r="AE83" t="str">
            <v>pilört, vatten-</v>
          </cell>
        </row>
        <row r="84">
          <cell r="AE84" t="str">
            <v>pilört, åker-</v>
          </cell>
        </row>
        <row r="85">
          <cell r="AE85" t="str">
            <v>pipdån</v>
          </cell>
        </row>
        <row r="86">
          <cell r="AE86" t="str">
            <v>plister, flik-</v>
          </cell>
        </row>
        <row r="87">
          <cell r="AE87" t="str">
            <v>plister, mjuk-</v>
          </cell>
        </row>
        <row r="88">
          <cell r="AE88" t="str">
            <v>plister, röd-</v>
          </cell>
        </row>
        <row r="89">
          <cell r="AE89" t="str">
            <v>plister, vit-</v>
          </cell>
        </row>
        <row r="90">
          <cell r="AE90" t="str">
            <v>potatis</v>
          </cell>
        </row>
        <row r="91">
          <cell r="AE91" t="str">
            <v>rajgräs, engelskt-</v>
          </cell>
        </row>
        <row r="92">
          <cell r="AE92" t="str">
            <v>rajgräs, ital-</v>
          </cell>
        </row>
        <row r="93">
          <cell r="AE93" t="str">
            <v>raps, spill-</v>
          </cell>
        </row>
        <row r="94">
          <cell r="AE94" t="str">
            <v>renkavle</v>
          </cell>
        </row>
        <row r="95">
          <cell r="AE95" t="str">
            <v>revormstörel</v>
          </cell>
        </row>
        <row r="96">
          <cell r="AE96" t="str">
            <v>rågvallmo</v>
          </cell>
        </row>
        <row r="97">
          <cell r="AE97" t="str">
            <v>rättika, åker-</v>
          </cell>
        </row>
        <row r="98">
          <cell r="AE98" t="str">
            <v>rävtörel</v>
          </cell>
        </row>
        <row r="99">
          <cell r="AE99" t="str">
            <v>rödarv</v>
          </cell>
        </row>
        <row r="100">
          <cell r="AE100" t="str">
            <v>rödkämpar</v>
          </cell>
        </row>
        <row r="101">
          <cell r="AE101" t="str">
            <v>rödplister</v>
          </cell>
        </row>
        <row r="102">
          <cell r="AE102" t="str">
            <v>sandtrav</v>
          </cell>
        </row>
        <row r="103">
          <cell r="AE103" t="str">
            <v>senap, väg-</v>
          </cell>
        </row>
        <row r="104">
          <cell r="AE104" t="str">
            <v>senap, åker-</v>
          </cell>
        </row>
        <row r="105">
          <cell r="AE105" t="str">
            <v>skatnäva</v>
          </cell>
        </row>
        <row r="106">
          <cell r="AE106" t="str">
            <v>snärjmåra</v>
          </cell>
        </row>
        <row r="107">
          <cell r="AE107" t="str">
            <v>sommargyllen</v>
          </cell>
        </row>
        <row r="108">
          <cell r="AE108" t="str">
            <v>sparvnäva</v>
          </cell>
        </row>
        <row r="109">
          <cell r="AE109" t="str">
            <v>spillhavre</v>
          </cell>
        </row>
        <row r="110">
          <cell r="AE110" t="str">
            <v>spillkorn</v>
          </cell>
        </row>
        <row r="111">
          <cell r="AE111" t="str">
            <v>spillraps</v>
          </cell>
        </row>
        <row r="112">
          <cell r="AE112" t="str">
            <v>stinknäva</v>
          </cell>
        </row>
        <row r="113">
          <cell r="AE113" t="str">
            <v>styvmorsviol</v>
          </cell>
        </row>
        <row r="114">
          <cell r="AE114" t="str">
            <v>svartkämpar</v>
          </cell>
        </row>
        <row r="115">
          <cell r="AE115" t="str">
            <v>svinmålla</v>
          </cell>
        </row>
        <row r="116">
          <cell r="AE116" t="str">
            <v>syska, knöl-</v>
          </cell>
        </row>
        <row r="117">
          <cell r="AE117" t="str">
            <v>tistel, väg-</v>
          </cell>
        </row>
        <row r="118">
          <cell r="AE118" t="str">
            <v>tistel, åker-</v>
          </cell>
        </row>
        <row r="119">
          <cell r="AE119" t="str">
            <v>toppdån</v>
          </cell>
        </row>
        <row r="120">
          <cell r="AE120" t="str">
            <v>trampört</v>
          </cell>
        </row>
        <row r="121">
          <cell r="AE121" t="str">
            <v>trav, sand-</v>
          </cell>
        </row>
        <row r="122">
          <cell r="AE122" t="str">
            <v>tvåhjbl arter</v>
          </cell>
        </row>
        <row r="123">
          <cell r="AE123" t="str">
            <v>törel, revorms-</v>
          </cell>
        </row>
        <row r="124">
          <cell r="AE124" t="str">
            <v>törel, räv-</v>
          </cell>
        </row>
        <row r="125">
          <cell r="AE125" t="str">
            <v>vallmo</v>
          </cell>
        </row>
        <row r="126">
          <cell r="AE126" t="str">
            <v>vallmo, korn-</v>
          </cell>
        </row>
        <row r="127">
          <cell r="AE127" t="str">
            <v>vallmo, råg-</v>
          </cell>
        </row>
        <row r="128">
          <cell r="AE128" t="str">
            <v>vanlig kamomill</v>
          </cell>
        </row>
        <row r="129">
          <cell r="AE129" t="str">
            <v>vanlig pilört</v>
          </cell>
        </row>
        <row r="130">
          <cell r="AE130" t="str">
            <v>vattenpilört</v>
          </cell>
        </row>
        <row r="131">
          <cell r="AE131" t="str">
            <v>ven, åker-</v>
          </cell>
        </row>
        <row r="132">
          <cell r="AE132" t="str">
            <v>veronika</v>
          </cell>
        </row>
        <row r="133">
          <cell r="AE133" t="str">
            <v>veronika, fält-</v>
          </cell>
        </row>
        <row r="134">
          <cell r="AE134" t="str">
            <v>veronika, maj-</v>
          </cell>
        </row>
        <row r="135">
          <cell r="AE135" t="str">
            <v>veronika, murgröns-</v>
          </cell>
        </row>
        <row r="136">
          <cell r="AE136" t="str">
            <v>veronika, åker-</v>
          </cell>
        </row>
        <row r="137">
          <cell r="AE137" t="str">
            <v>vete, spill-</v>
          </cell>
        </row>
        <row r="138">
          <cell r="AE138" t="str">
            <v>viol, styvmors-</v>
          </cell>
        </row>
        <row r="139">
          <cell r="AE139" t="str">
            <v>viol, åker-</v>
          </cell>
        </row>
        <row r="140">
          <cell r="AE140" t="str">
            <v>vitgröe</v>
          </cell>
        </row>
        <row r="141">
          <cell r="AE141" t="str">
            <v>vitplister</v>
          </cell>
        </row>
        <row r="142">
          <cell r="AE142" t="str">
            <v>våtarv</v>
          </cell>
        </row>
        <row r="143">
          <cell r="AE143" t="str">
            <v>vägmålla</v>
          </cell>
        </row>
        <row r="144">
          <cell r="AE144" t="str">
            <v>vägsenap</v>
          </cell>
        </row>
        <row r="145">
          <cell r="AE145" t="str">
            <v>vägtistel</v>
          </cell>
        </row>
        <row r="146">
          <cell r="AE146" t="str">
            <v>åkerbinda</v>
          </cell>
        </row>
        <row r="147">
          <cell r="AE147" t="str">
            <v>åkerfräken</v>
          </cell>
        </row>
        <row r="148">
          <cell r="AE148" t="str">
            <v>åkerförgätmigej</v>
          </cell>
        </row>
        <row r="149">
          <cell r="AE149" t="str">
            <v>åkergyllen</v>
          </cell>
        </row>
        <row r="150">
          <cell r="AE150" t="str">
            <v>åkerkål</v>
          </cell>
        </row>
        <row r="151">
          <cell r="AE151" t="str">
            <v>åkermolke</v>
          </cell>
        </row>
        <row r="152">
          <cell r="AE152" t="str">
            <v>åkerpilört</v>
          </cell>
        </row>
        <row r="153">
          <cell r="AE153" t="str">
            <v>åkerrättika</v>
          </cell>
        </row>
        <row r="154">
          <cell r="AE154" t="str">
            <v>åkersenap</v>
          </cell>
        </row>
        <row r="155">
          <cell r="AE155" t="str">
            <v>åkertistel</v>
          </cell>
        </row>
        <row r="156">
          <cell r="AE156" t="str">
            <v>åkerven</v>
          </cell>
        </row>
        <row r="157">
          <cell r="AE157" t="str">
            <v>åkerveronika</v>
          </cell>
        </row>
        <row r="158">
          <cell r="AE158" t="str">
            <v>åkervinda</v>
          </cell>
        </row>
        <row r="159">
          <cell r="AE159" t="str">
            <v>åkerviol</v>
          </cell>
        </row>
      </sheetData>
      <sheetData sheetId="4">
        <row r="12">
          <cell r="K12" t="str">
            <v>Weeds in cereals</v>
          </cell>
          <cell r="N12">
            <v>200</v>
          </cell>
        </row>
      </sheetData>
      <sheetData sheetId="5">
        <row r="40">
          <cell r="BA40" t="str">
            <v>2,3,4,5,6,7,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26">
          <cell r="Q26" t="str">
            <v>E Speedy 2006</v>
          </cell>
          <cell r="R26" t="str">
            <v>HSE 3.1</v>
          </cell>
          <cell r="S26">
            <v>46</v>
          </cell>
        </row>
        <row r="27">
          <cell r="Q27" t="str">
            <v>E Speedy 2018</v>
          </cell>
          <cell r="R27" t="str">
            <v>HSE 3.12</v>
          </cell>
          <cell r="S27">
            <v>46</v>
          </cell>
        </row>
        <row r="28">
          <cell r="Q28" t="str">
            <v>E Agrotop 1991</v>
          </cell>
          <cell r="R28" t="str">
            <v>HSE 3.3</v>
          </cell>
          <cell r="S28">
            <v>50</v>
          </cell>
        </row>
        <row r="29">
          <cell r="Q29" t="str">
            <v>E Hardi 12 m årsm 2000</v>
          </cell>
          <cell r="R29" t="str">
            <v>HSE 3.4</v>
          </cell>
          <cell r="S29">
            <v>50</v>
          </cell>
        </row>
        <row r="30">
          <cell r="Q30" t="e">
            <v>#N/A</v>
          </cell>
          <cell r="R30" t="e">
            <v>#N/A</v>
          </cell>
          <cell r="S30" t="e">
            <v>#N/A</v>
          </cell>
        </row>
        <row r="31">
          <cell r="Q31" t="e">
            <v>#N/A</v>
          </cell>
          <cell r="R31" t="e">
            <v>#N/A</v>
          </cell>
          <cell r="S31" t="e">
            <v>#N/A</v>
          </cell>
        </row>
        <row r="32">
          <cell r="Q32" t="e">
            <v>#N/A</v>
          </cell>
          <cell r="R32" t="e">
            <v>#N/A</v>
          </cell>
          <cell r="S32" t="e">
            <v>#N/A</v>
          </cell>
        </row>
        <row r="33">
          <cell r="Q33" t="e">
            <v>#N/A</v>
          </cell>
          <cell r="R33" t="e">
            <v>#N/A</v>
          </cell>
          <cell r="S33" t="e">
            <v>#N/A</v>
          </cell>
        </row>
        <row r="34">
          <cell r="Q34" t="e">
            <v>#N/A</v>
          </cell>
          <cell r="R34" t="e">
            <v>#N/A</v>
          </cell>
          <cell r="S34" t="e">
            <v>#N/A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CD114"/>
  <sheetViews>
    <sheetView tabSelected="1" topLeftCell="B1" zoomScale="130" zoomScaleNormal="130" workbookViewId="0">
      <selection activeCell="B1" sqref="B1"/>
    </sheetView>
  </sheetViews>
  <sheetFormatPr defaultColWidth="9.140625" defaultRowHeight="16.5" x14ac:dyDescent="0.25"/>
  <cols>
    <col min="1" max="1" width="9.140625" style="69" hidden="1" customWidth="1"/>
    <col min="2" max="2" width="26.42578125" style="1" customWidth="1"/>
    <col min="3" max="3" width="10.28515625" style="3" customWidth="1"/>
    <col min="4" max="4" width="9.5703125" style="3" customWidth="1"/>
    <col min="5" max="5" width="9.5703125" style="1" customWidth="1"/>
    <col min="6" max="6" width="9.42578125" style="1" customWidth="1"/>
    <col min="7" max="9" width="9.5703125" style="1" customWidth="1"/>
    <col min="10" max="10" width="8.85546875" style="1" customWidth="1"/>
    <col min="11" max="11" width="3.7109375" style="1" customWidth="1"/>
    <col min="12" max="12" width="13.42578125" style="1" customWidth="1"/>
    <col min="13" max="13" width="3.28515625" style="1" customWidth="1"/>
    <col min="14" max="14" width="13" style="1" customWidth="1"/>
    <col min="15" max="15" width="9.140625" style="1" customWidth="1"/>
    <col min="16" max="17" width="9.140625" style="1" hidden="1" customWidth="1"/>
    <col min="18" max="25" width="9.140625" style="3"/>
    <col min="26" max="16384" width="9.140625" style="1"/>
  </cols>
  <sheetData>
    <row r="1" spans="1:25" x14ac:dyDescent="0.25">
      <c r="A1" s="62">
        <f>IF(AND(A2&gt;0,A2&lt;3),1,0)+IF(AND(A7&gt;0,A7&lt;5),10,0)+IF(AND(A14&gt;0,A14&lt;5),100,0)+IF(AND(A24&gt;0,A24&lt;8),1000,0)</f>
        <v>0</v>
      </c>
      <c r="B1" s="63" t="s">
        <v>0</v>
      </c>
      <c r="C1" s="64" t="str">
        <f ca="1">MID(CELL("filename",A1),FIND("]",CELL("filename",A1))+1,255)</f>
        <v>Spr1</v>
      </c>
      <c r="D1" s="65" t="s">
        <v>1</v>
      </c>
      <c r="E1" s="152" t="s">
        <v>2</v>
      </c>
      <c r="F1" s="67" t="s">
        <v>3</v>
      </c>
      <c r="G1" s="68"/>
      <c r="H1" s="68" t="s">
        <v>4</v>
      </c>
      <c r="I1" s="156" t="s">
        <v>5</v>
      </c>
      <c r="J1" s="157"/>
      <c r="K1" s="157"/>
      <c r="L1" s="158"/>
    </row>
    <row r="2" spans="1:25" ht="15" customHeight="1" x14ac:dyDescent="0.25">
      <c r="A2" s="69">
        <f>COUNTBLANK(C3:C6)</f>
        <v>0</v>
      </c>
      <c r="B2" s="58" t="s">
        <v>6</v>
      </c>
      <c r="C2" s="6"/>
      <c r="E2" s="6"/>
      <c r="P2" s="70">
        <v>1</v>
      </c>
      <c r="Q2" s="70" t="s">
        <v>7</v>
      </c>
    </row>
    <row r="3" spans="1:25" ht="15" customHeight="1" x14ac:dyDescent="0.25">
      <c r="A3" s="71">
        <f>SUM(A2,A7,A14,A24,A36)</f>
        <v>0</v>
      </c>
      <c r="B3" s="72" t="s">
        <v>8</v>
      </c>
      <c r="C3" s="73">
        <v>44812</v>
      </c>
      <c r="G3" s="74" t="s">
        <v>9</v>
      </c>
      <c r="H3" s="75"/>
      <c r="I3" s="76"/>
      <c r="L3" s="1" t="str">
        <f ca="1">"Ogräs graderas i flik Og"&amp;RIGHT(C1,1)&amp;"."</f>
        <v>Ogräs graderas i flik Og1.</v>
      </c>
      <c r="P3" s="70">
        <v>10</v>
      </c>
      <c r="Q3" s="70" t="s">
        <v>10</v>
      </c>
    </row>
    <row r="4" spans="1:25" ht="15" customHeight="1" x14ac:dyDescent="0.25">
      <c r="B4" s="72" t="s">
        <v>11</v>
      </c>
      <c r="C4" s="77">
        <v>0.625</v>
      </c>
      <c r="G4" s="78" t="s">
        <v>12</v>
      </c>
      <c r="H4" s="79" t="s">
        <v>13</v>
      </c>
      <c r="I4" s="80" t="s">
        <v>14</v>
      </c>
      <c r="K4" s="81"/>
      <c r="L4" s="82"/>
      <c r="M4" s="83"/>
      <c r="N4" s="84"/>
      <c r="P4" s="70">
        <v>11</v>
      </c>
      <c r="Q4" s="70" t="s">
        <v>15</v>
      </c>
    </row>
    <row r="5" spans="1:25" ht="15" customHeight="1" x14ac:dyDescent="0.25">
      <c r="B5" s="72" t="s">
        <v>16</v>
      </c>
      <c r="C5" s="77">
        <v>0.64583333333333337</v>
      </c>
      <c r="G5" s="85" t="s">
        <v>17</v>
      </c>
      <c r="H5" s="86" t="s">
        <v>18</v>
      </c>
      <c r="I5" s="87" t="s">
        <v>19</v>
      </c>
      <c r="K5" s="88" t="s">
        <v>20</v>
      </c>
      <c r="L5" s="59"/>
      <c r="N5" s="89"/>
      <c r="P5" s="70">
        <v>100</v>
      </c>
      <c r="Q5" s="70" t="s">
        <v>21</v>
      </c>
    </row>
    <row r="6" spans="1:25" s="69" customFormat="1" ht="15" customHeight="1" x14ac:dyDescent="0.25">
      <c r="B6" s="72" t="s">
        <v>22</v>
      </c>
      <c r="C6" s="90" t="s">
        <v>23</v>
      </c>
      <c r="D6" s="3"/>
      <c r="E6" s="91" t="str">
        <f>"("&amp;[1]PM!BA40&amp;")"</f>
        <v>(2,3,4,5,6,7,)</v>
      </c>
      <c r="G6" s="85" t="s">
        <v>24</v>
      </c>
      <c r="H6" s="86" t="s">
        <v>25</v>
      </c>
      <c r="I6" s="87" t="s">
        <v>26</v>
      </c>
      <c r="K6" s="92" t="s">
        <v>27</v>
      </c>
      <c r="L6" s="93"/>
      <c r="M6" s="55" t="s">
        <v>28</v>
      </c>
      <c r="N6" s="52"/>
      <c r="P6" s="70">
        <v>101</v>
      </c>
      <c r="Q6" s="70" t="s">
        <v>29</v>
      </c>
      <c r="R6" s="94"/>
      <c r="S6" s="94"/>
      <c r="T6" s="94"/>
      <c r="U6" s="94"/>
      <c r="V6" s="94"/>
      <c r="W6" s="94"/>
      <c r="X6" s="94"/>
      <c r="Y6" s="94"/>
    </row>
    <row r="7" spans="1:25" ht="15" customHeight="1" x14ac:dyDescent="0.25">
      <c r="A7" s="69">
        <f>COUNTBLANK(C11:C13)+COUNTBLANK(C8)+SUM(A10:A13)</f>
        <v>0</v>
      </c>
      <c r="B7" s="58" t="s">
        <v>30</v>
      </c>
      <c r="D7" s="69"/>
      <c r="F7" s="95">
        <f>VLOOKUP(C8,G27:I36,3,0)</f>
        <v>46</v>
      </c>
      <c r="G7" s="85" t="s">
        <v>31</v>
      </c>
      <c r="H7" s="86" t="s">
        <v>32</v>
      </c>
      <c r="I7" s="87" t="s">
        <v>33</v>
      </c>
      <c r="K7" s="96" t="s">
        <v>34</v>
      </c>
      <c r="L7" s="97" t="s">
        <v>35</v>
      </c>
      <c r="M7" s="41" t="s">
        <v>34</v>
      </c>
      <c r="N7" s="98" t="s">
        <v>35</v>
      </c>
      <c r="P7" s="70">
        <v>110</v>
      </c>
      <c r="Q7" s="70" t="s">
        <v>36</v>
      </c>
      <c r="S7" s="99"/>
    </row>
    <row r="8" spans="1:25" s="4" customFormat="1" ht="15" customHeight="1" x14ac:dyDescent="0.2">
      <c r="B8" s="72" t="s">
        <v>37</v>
      </c>
      <c r="C8" s="159" t="s">
        <v>38</v>
      </c>
      <c r="D8" s="159"/>
      <c r="F8" s="100">
        <f>VLOOKUP(C10,I11:J15,2,0)</f>
        <v>0.76616910623580237</v>
      </c>
      <c r="G8" s="85" t="s">
        <v>39</v>
      </c>
      <c r="H8" s="86" t="s">
        <v>40</v>
      </c>
      <c r="I8" s="16"/>
      <c r="J8" s="101" t="s">
        <v>41</v>
      </c>
      <c r="K8" s="96" t="s">
        <v>42</v>
      </c>
      <c r="L8" s="102" t="s">
        <v>43</v>
      </c>
      <c r="M8" s="41" t="s">
        <v>42</v>
      </c>
      <c r="N8" s="98" t="s">
        <v>43</v>
      </c>
      <c r="P8" s="70">
        <v>111</v>
      </c>
      <c r="Q8" s="70" t="s">
        <v>44</v>
      </c>
      <c r="R8" s="6"/>
      <c r="S8" s="99"/>
      <c r="T8" s="6"/>
      <c r="U8" s="6"/>
      <c r="V8" s="6"/>
      <c r="W8" s="6"/>
      <c r="X8" s="6"/>
      <c r="Y8" s="6"/>
    </row>
    <row r="9" spans="1:25" ht="15" customHeight="1" x14ac:dyDescent="0.25">
      <c r="B9" s="72" t="s">
        <v>45</v>
      </c>
      <c r="C9" s="153"/>
      <c r="D9" s="5"/>
      <c r="F9" s="160" t="s">
        <v>46</v>
      </c>
      <c r="G9" s="85" t="s">
        <v>47</v>
      </c>
      <c r="H9" s="86" t="s">
        <v>48</v>
      </c>
      <c r="I9" s="161" t="s">
        <v>49</v>
      </c>
      <c r="J9" s="104">
        <v>0.1</v>
      </c>
      <c r="K9" s="96" t="s">
        <v>50</v>
      </c>
      <c r="L9" s="102" t="s">
        <v>51</v>
      </c>
      <c r="M9" s="41" t="s">
        <v>50</v>
      </c>
      <c r="N9" s="98" t="s">
        <v>51</v>
      </c>
      <c r="P9" s="70">
        <v>1000</v>
      </c>
      <c r="Q9" s="70" t="s">
        <v>52</v>
      </c>
      <c r="S9" s="99"/>
    </row>
    <row r="10" spans="1:25" ht="15" customHeight="1" x14ac:dyDescent="0.25">
      <c r="A10" s="69">
        <f>IF(ISBLANK(C10),1,0)</f>
        <v>0</v>
      </c>
      <c r="B10" s="72" t="s">
        <v>53</v>
      </c>
      <c r="C10" s="105" t="s">
        <v>54</v>
      </c>
      <c r="D10" s="106"/>
      <c r="F10" s="160"/>
      <c r="G10" s="85" t="s">
        <v>55</v>
      </c>
      <c r="H10" s="86" t="s">
        <v>56</v>
      </c>
      <c r="I10" s="162"/>
      <c r="J10" s="101" t="s">
        <v>57</v>
      </c>
      <c r="K10" s="96" t="s">
        <v>58</v>
      </c>
      <c r="L10" s="97" t="s">
        <v>59</v>
      </c>
      <c r="M10" s="41" t="s">
        <v>58</v>
      </c>
      <c r="N10" s="37" t="s">
        <v>60</v>
      </c>
      <c r="P10" s="70">
        <v>1001</v>
      </c>
      <c r="Q10" s="70" t="s">
        <v>61</v>
      </c>
      <c r="S10" s="99"/>
    </row>
    <row r="11" spans="1:25" ht="15" customHeight="1" x14ac:dyDescent="0.25">
      <c r="A11" s="69">
        <f>IF(AND(C11&gt;=75,C11&lt;1000),0,1)</f>
        <v>0</v>
      </c>
      <c r="B11" s="107" t="str">
        <f>"Vattenmängd, L/ha ("&amp;F12&amp;" enl PM)"</f>
        <v>Vattenmängd, L/ha (200 enl PM)</v>
      </c>
      <c r="C11" s="108">
        <v>200</v>
      </c>
      <c r="D11" s="163" t="s">
        <v>62</v>
      </c>
      <c r="E11" s="164"/>
      <c r="F11" s="109">
        <f>600*F8/(F7*C13/100)</f>
        <v>217.25021915949026</v>
      </c>
      <c r="G11" s="85" t="s">
        <v>63</v>
      </c>
      <c r="H11" s="110"/>
      <c r="I11" s="87" t="s">
        <v>64</v>
      </c>
      <c r="J11" s="111">
        <f>0.2314*C$12^0.4996</f>
        <v>0.38704682308053573</v>
      </c>
      <c r="K11" s="112">
        <v>10</v>
      </c>
      <c r="L11" s="97" t="s">
        <v>65</v>
      </c>
      <c r="M11" s="38">
        <v>10</v>
      </c>
      <c r="N11" s="37" t="s">
        <v>66</v>
      </c>
      <c r="P11" s="70">
        <v>1010</v>
      </c>
      <c r="Q11" s="70" t="s">
        <v>67</v>
      </c>
    </row>
    <row r="12" spans="1:25" ht="15" customHeight="1" x14ac:dyDescent="0.25">
      <c r="A12" s="69">
        <f>IF(AND(C12&gt;1,C12&lt;6),0,1)</f>
        <v>0</v>
      </c>
      <c r="B12" s="72" t="s">
        <v>68</v>
      </c>
      <c r="C12" s="113">
        <v>2.8</v>
      </c>
      <c r="D12" s="163"/>
      <c r="E12" s="164"/>
      <c r="F12" s="114">
        <f>[1]kf!N12</f>
        <v>200</v>
      </c>
      <c r="G12" s="85" t="s">
        <v>69</v>
      </c>
      <c r="H12" s="79" t="s">
        <v>70</v>
      </c>
      <c r="I12" s="87" t="s">
        <v>71</v>
      </c>
      <c r="J12" s="111">
        <f>0.3375*C$12^0.5094</f>
        <v>0.57023789957174587</v>
      </c>
      <c r="K12" s="112">
        <v>11</v>
      </c>
      <c r="L12" s="97" t="s">
        <v>72</v>
      </c>
      <c r="M12" s="38">
        <v>11</v>
      </c>
      <c r="N12" s="37" t="s">
        <v>73</v>
      </c>
      <c r="P12" s="70">
        <v>1011</v>
      </c>
      <c r="Q12" s="70" t="s">
        <v>74</v>
      </c>
    </row>
    <row r="13" spans="1:25" ht="15" customHeight="1" x14ac:dyDescent="0.25">
      <c r="A13" s="69">
        <f>IF(AND(C13&gt;1,C13&lt;8),0,1)</f>
        <v>0</v>
      </c>
      <c r="B13" s="72" t="s">
        <v>75</v>
      </c>
      <c r="C13" s="113">
        <v>4.5999999999999996</v>
      </c>
      <c r="D13" s="115"/>
      <c r="G13" s="85" t="s">
        <v>76</v>
      </c>
      <c r="H13" s="86" t="s">
        <v>77</v>
      </c>
      <c r="I13" s="87" t="s">
        <v>54</v>
      </c>
      <c r="J13" s="111">
        <f>0.46*C$12^0.4955</f>
        <v>0.76616910623580237</v>
      </c>
      <c r="K13" s="112">
        <v>12</v>
      </c>
      <c r="L13" s="97" t="s">
        <v>78</v>
      </c>
      <c r="M13" s="38">
        <v>12</v>
      </c>
      <c r="N13" s="37" t="s">
        <v>79</v>
      </c>
      <c r="P13" s="70">
        <v>1100</v>
      </c>
      <c r="Q13" s="70" t="s">
        <v>80</v>
      </c>
    </row>
    <row r="14" spans="1:25" ht="15" customHeight="1" x14ac:dyDescent="0.25">
      <c r="A14" s="116">
        <f>COUNTBLANK(C15:C23)+SUM(A15:A23)</f>
        <v>0</v>
      </c>
      <c r="B14" s="58" t="s">
        <v>81</v>
      </c>
      <c r="D14" s="6"/>
      <c r="G14" s="85" t="s">
        <v>82</v>
      </c>
      <c r="H14" s="86" t="s">
        <v>83</v>
      </c>
      <c r="I14" s="87" t="s">
        <v>84</v>
      </c>
      <c r="J14" s="111">
        <f>0.5799*C$12^0.4948</f>
        <v>0.96517686322946905</v>
      </c>
      <c r="K14" s="112">
        <v>20</v>
      </c>
      <c r="L14" s="97" t="s">
        <v>85</v>
      </c>
      <c r="M14" s="38"/>
      <c r="N14" s="37" t="s">
        <v>86</v>
      </c>
      <c r="P14" s="70">
        <v>1101</v>
      </c>
      <c r="Q14" s="70" t="s">
        <v>87</v>
      </c>
    </row>
    <row r="15" spans="1:25" s="4" customFormat="1" ht="15" customHeight="1" x14ac:dyDescent="0.2">
      <c r="A15" s="4">
        <f>IF(AND(C15&gt;=2,C15&lt;30,D15&gt;=2,D15&lt;30),0,1)</f>
        <v>0</v>
      </c>
      <c r="B15" s="72" t="s">
        <v>88</v>
      </c>
      <c r="C15" s="113">
        <v>17.3</v>
      </c>
      <c r="D15" s="113">
        <v>17.2</v>
      </c>
      <c r="G15" s="85" t="s">
        <v>89</v>
      </c>
      <c r="H15" s="86" t="s">
        <v>90</v>
      </c>
      <c r="I15" s="87" t="s">
        <v>91</v>
      </c>
      <c r="J15" s="111">
        <f>0.6946*C$12^0.4948</f>
        <v>1.1560818230715455</v>
      </c>
      <c r="K15" s="112">
        <v>21</v>
      </c>
      <c r="L15" s="97" t="s">
        <v>92</v>
      </c>
      <c r="M15" s="38">
        <v>30</v>
      </c>
      <c r="N15" s="37" t="s">
        <v>93</v>
      </c>
      <c r="P15" s="70">
        <v>1110</v>
      </c>
      <c r="Q15" s="70" t="s">
        <v>94</v>
      </c>
      <c r="R15" s="6"/>
      <c r="S15" s="6"/>
      <c r="T15" s="6"/>
      <c r="U15" s="6"/>
      <c r="V15" s="6"/>
      <c r="W15" s="6"/>
      <c r="X15" s="6"/>
      <c r="Y15" s="6"/>
    </row>
    <row r="16" spans="1:25" ht="15" customHeight="1" x14ac:dyDescent="0.25">
      <c r="A16" s="4">
        <f>IF(AND(C16&gt;15,C16&lt;=100,D16&gt;15,D16&lt;=100),0,1)</f>
        <v>0</v>
      </c>
      <c r="B16" s="72" t="s">
        <v>95</v>
      </c>
      <c r="C16" s="117">
        <v>44</v>
      </c>
      <c r="D16" s="117">
        <v>45</v>
      </c>
      <c r="G16" s="85" t="s">
        <v>96</v>
      </c>
      <c r="H16" s="118"/>
      <c r="I16" s="16"/>
      <c r="J16" s="110"/>
      <c r="K16" s="112">
        <v>22</v>
      </c>
      <c r="L16" s="97" t="s">
        <v>97</v>
      </c>
      <c r="M16" s="38">
        <v>31</v>
      </c>
      <c r="N16" s="37" t="s">
        <v>98</v>
      </c>
      <c r="P16" s="70">
        <v>1111</v>
      </c>
      <c r="Q16" s="70" t="s">
        <v>99</v>
      </c>
    </row>
    <row r="17" spans="1:82" ht="15" customHeight="1" x14ac:dyDescent="0.25">
      <c r="A17" s="4">
        <f>IF(AND(C17&gt;=0,C17&lt;=100),0,1)</f>
        <v>0</v>
      </c>
      <c r="B17" s="119" t="s">
        <v>100</v>
      </c>
      <c r="C17" s="108">
        <v>100</v>
      </c>
      <c r="D17" s="120" t="s">
        <v>101</v>
      </c>
      <c r="E17" s="120" t="s">
        <v>102</v>
      </c>
      <c r="G17" s="85" t="s">
        <v>103</v>
      </c>
      <c r="H17" s="79" t="s">
        <v>104</v>
      </c>
      <c r="I17" s="16"/>
      <c r="J17" s="121">
        <f>F11*(1-J9)</f>
        <v>195.52519724354124</v>
      </c>
      <c r="K17" s="112">
        <v>30</v>
      </c>
      <c r="L17" s="97" t="s">
        <v>105</v>
      </c>
      <c r="M17" s="38">
        <v>32</v>
      </c>
      <c r="N17" s="37" t="s">
        <v>106</v>
      </c>
    </row>
    <row r="18" spans="1:82" ht="15" customHeight="1" x14ac:dyDescent="0.25">
      <c r="A18" s="4">
        <f>IF(AND(C18&gt;=0,C18&lt;6,D18&gt;=0,D18&lt;6,E18&gt;=0,E18&lt;6),0,1)</f>
        <v>0</v>
      </c>
      <c r="B18" s="72" t="s">
        <v>107</v>
      </c>
      <c r="C18" s="113">
        <v>2.9</v>
      </c>
      <c r="D18" s="122">
        <v>3</v>
      </c>
      <c r="E18" s="122">
        <v>3.6</v>
      </c>
      <c r="G18" s="85" t="s">
        <v>108</v>
      </c>
      <c r="H18" s="86" t="s">
        <v>109</v>
      </c>
      <c r="I18" s="16"/>
      <c r="J18" s="121">
        <f>F11*(1+J9)</f>
        <v>238.9752410754393</v>
      </c>
      <c r="K18" s="112">
        <v>31</v>
      </c>
      <c r="L18" s="97" t="s">
        <v>110</v>
      </c>
      <c r="M18" s="38"/>
      <c r="N18" s="37" t="s">
        <v>86</v>
      </c>
      <c r="P18" s="4" t="s">
        <v>18</v>
      </c>
      <c r="Q18" s="4" t="s">
        <v>111</v>
      </c>
      <c r="BV18" s="4"/>
      <c r="BW18" s="4"/>
      <c r="BX18" s="4"/>
      <c r="BY18" s="4"/>
      <c r="BZ18" s="4"/>
      <c r="CA18" s="4"/>
      <c r="CB18" s="4"/>
      <c r="CC18" s="4"/>
      <c r="CD18" s="4"/>
    </row>
    <row r="19" spans="1:82" s="16" customFormat="1" ht="15" customHeight="1" x14ac:dyDescent="0.2">
      <c r="A19" s="4">
        <f>IF(AND(ISTEXT(C19),ISTEXT(D19),ISTEXT(E19)),0,1)</f>
        <v>0</v>
      </c>
      <c r="B19" s="123" t="s">
        <v>112</v>
      </c>
      <c r="C19" s="105" t="s">
        <v>89</v>
      </c>
      <c r="D19" s="124" t="s">
        <v>89</v>
      </c>
      <c r="E19" s="124" t="s">
        <v>89</v>
      </c>
      <c r="G19" s="85" t="s">
        <v>113</v>
      </c>
      <c r="H19" s="86" t="s">
        <v>114</v>
      </c>
      <c r="J19" s="121">
        <f>IF(ISNUMBER(F12),F12*(1-J9),LEFT(F12,3)*1)</f>
        <v>180</v>
      </c>
      <c r="K19" s="112">
        <v>32</v>
      </c>
      <c r="L19" s="97" t="s">
        <v>115</v>
      </c>
      <c r="M19" s="38">
        <v>50</v>
      </c>
      <c r="N19" s="37" t="s">
        <v>116</v>
      </c>
      <c r="P19" s="4" t="s">
        <v>25</v>
      </c>
      <c r="Q19" s="4" t="s">
        <v>117</v>
      </c>
      <c r="R19" s="125"/>
      <c r="S19" s="125"/>
      <c r="T19" s="125"/>
      <c r="U19" s="125"/>
      <c r="V19" s="125"/>
      <c r="W19" s="125"/>
      <c r="X19" s="125"/>
      <c r="Y19" s="125"/>
    </row>
    <row r="20" spans="1:82" s="16" customFormat="1" ht="15" customHeight="1" x14ac:dyDescent="0.2">
      <c r="A20" s="4">
        <f>IF(AND(C20&gt;0,C20&lt;30),0,1)</f>
        <v>0</v>
      </c>
      <c r="B20" s="72" t="s">
        <v>118</v>
      </c>
      <c r="C20" s="113">
        <v>15</v>
      </c>
      <c r="D20" s="154" t="s">
        <v>119</v>
      </c>
      <c r="E20" s="155"/>
      <c r="G20" s="85" t="s">
        <v>120</v>
      </c>
      <c r="H20" s="86" t="s">
        <v>121</v>
      </c>
      <c r="J20" s="121">
        <f>IF(ISNUMBER(F12),F12*(1+J9),RIGHT(F12,3)*1)</f>
        <v>220.00000000000003</v>
      </c>
      <c r="K20" s="112">
        <v>37</v>
      </c>
      <c r="L20" s="97" t="s">
        <v>122</v>
      </c>
      <c r="M20" s="38"/>
      <c r="N20" s="37" t="s">
        <v>123</v>
      </c>
      <c r="P20" s="4" t="s">
        <v>32</v>
      </c>
      <c r="Q20" s="4" t="s">
        <v>124</v>
      </c>
      <c r="R20" s="125"/>
      <c r="S20" s="125"/>
      <c r="T20" s="125"/>
      <c r="U20" s="125"/>
      <c r="V20" s="125"/>
      <c r="W20" s="125"/>
      <c r="X20" s="125"/>
      <c r="Y20" s="125"/>
    </row>
    <row r="21" spans="1:82" s="16" customFormat="1" ht="15" customHeight="1" x14ac:dyDescent="0.25">
      <c r="A21" s="4">
        <f>IF(ISTEXT(C21),0,1)</f>
        <v>0</v>
      </c>
      <c r="B21" s="72" t="s">
        <v>125</v>
      </c>
      <c r="C21" s="105" t="s">
        <v>48</v>
      </c>
      <c r="D21" s="126" t="s">
        <v>126</v>
      </c>
      <c r="E21" s="175" t="s">
        <v>127</v>
      </c>
      <c r="F21" s="175"/>
      <c r="G21" s="127" t="s">
        <v>128</v>
      </c>
      <c r="H21" s="118"/>
      <c r="I21" s="33"/>
      <c r="J21" s="128"/>
      <c r="K21" s="11">
        <v>39</v>
      </c>
      <c r="L21" s="5" t="s">
        <v>129</v>
      </c>
      <c r="M21" s="38">
        <v>51</v>
      </c>
      <c r="N21" s="37" t="s">
        <v>130</v>
      </c>
      <c r="P21" s="4" t="s">
        <v>40</v>
      </c>
      <c r="Q21" s="4" t="s">
        <v>131</v>
      </c>
      <c r="R21" s="125"/>
      <c r="S21" s="125"/>
      <c r="T21" s="125"/>
      <c r="U21" s="125"/>
      <c r="V21" s="125"/>
      <c r="W21" s="125"/>
      <c r="X21" s="125"/>
      <c r="Y21" s="125"/>
    </row>
    <row r="22" spans="1:82" s="16" customFormat="1" ht="15" customHeight="1" x14ac:dyDescent="0.25">
      <c r="A22" s="4">
        <f>IF(ISTEXT(C22),0,1)</f>
        <v>0</v>
      </c>
      <c r="B22" s="72" t="s">
        <v>132</v>
      </c>
      <c r="C22" s="105" t="s">
        <v>32</v>
      </c>
      <c r="D22" s="176" t="s">
        <v>133</v>
      </c>
      <c r="E22" s="177"/>
      <c r="F22" s="177"/>
      <c r="G22" s="178"/>
      <c r="H22" s="179"/>
      <c r="K22" s="38">
        <v>41</v>
      </c>
      <c r="L22" s="97" t="s">
        <v>134</v>
      </c>
      <c r="M22" s="41"/>
      <c r="N22" s="37" t="s">
        <v>135</v>
      </c>
      <c r="P22" s="4" t="s">
        <v>48</v>
      </c>
      <c r="Q22" s="4" t="s">
        <v>136</v>
      </c>
      <c r="R22" s="125"/>
      <c r="S22" s="125"/>
      <c r="T22" s="125"/>
      <c r="U22" s="125"/>
      <c r="V22" s="125"/>
      <c r="W22" s="125"/>
      <c r="X22" s="125"/>
      <c r="Y22" s="125"/>
    </row>
    <row r="23" spans="1:82" s="4" customFormat="1" ht="15" customHeight="1" x14ac:dyDescent="0.25">
      <c r="A23" s="4">
        <f>IF(ISTEXT(C23),0,1)</f>
        <v>0</v>
      </c>
      <c r="B23" s="72" t="s">
        <v>70</v>
      </c>
      <c r="C23" s="105" t="s">
        <v>83</v>
      </c>
      <c r="D23" s="176"/>
      <c r="E23" s="177"/>
      <c r="F23" s="177"/>
      <c r="G23" s="180" t="s">
        <v>137</v>
      </c>
      <c r="H23" s="181"/>
      <c r="I23" s="181"/>
      <c r="J23" s="129"/>
      <c r="K23" s="38">
        <v>45</v>
      </c>
      <c r="L23" s="97" t="s">
        <v>138</v>
      </c>
      <c r="M23" s="38">
        <v>55</v>
      </c>
      <c r="N23" s="37" t="s">
        <v>139</v>
      </c>
      <c r="P23" s="4" t="s">
        <v>56</v>
      </c>
      <c r="Q23" s="4" t="s">
        <v>140</v>
      </c>
      <c r="R23" s="6"/>
      <c r="S23" s="6"/>
      <c r="T23" s="6"/>
      <c r="U23" s="6"/>
      <c r="V23" s="6"/>
      <c r="W23" s="6"/>
      <c r="X23" s="6"/>
      <c r="Y23" s="6"/>
    </row>
    <row r="24" spans="1:82" s="16" customFormat="1" ht="15" customHeight="1" x14ac:dyDescent="0.25">
      <c r="A24" s="69">
        <f>COUNTBLANK(C26:E28)+COUNTBLANK(C29:C34)+SUM(A25,A29:A35)</f>
        <v>0</v>
      </c>
      <c r="B24" s="130" t="s">
        <v>141</v>
      </c>
      <c r="C24" s="125"/>
      <c r="D24" s="3"/>
      <c r="E24" s="1"/>
      <c r="F24" s="1"/>
      <c r="G24" s="182"/>
      <c r="H24" s="183"/>
      <c r="I24" s="183"/>
      <c r="J24" s="129"/>
      <c r="K24" s="38">
        <v>49</v>
      </c>
      <c r="L24" s="97" t="s">
        <v>142</v>
      </c>
      <c r="M24" s="38"/>
      <c r="N24" s="37" t="s">
        <v>143</v>
      </c>
      <c r="P24" s="4" t="s">
        <v>77</v>
      </c>
      <c r="Q24" s="4" t="s">
        <v>144</v>
      </c>
      <c r="R24" s="125"/>
      <c r="S24" s="125"/>
      <c r="T24" s="125"/>
      <c r="U24" s="125"/>
      <c r="V24" s="125"/>
      <c r="W24" s="125"/>
      <c r="X24" s="125"/>
      <c r="Y24" s="125"/>
    </row>
    <row r="25" spans="1:82" s="16" customFormat="1" ht="15" customHeight="1" x14ac:dyDescent="0.25">
      <c r="A25" s="131">
        <f>IF(OR(C26&gt;E26,C26&lt;D26,D26&gt;E26),0.5,0)</f>
        <v>0</v>
      </c>
      <c r="B25" s="132"/>
      <c r="C25" s="133" t="s">
        <v>145</v>
      </c>
      <c r="D25" s="133" t="s">
        <v>146</v>
      </c>
      <c r="E25" s="134" t="s">
        <v>102</v>
      </c>
      <c r="F25" s="1"/>
      <c r="G25" s="184" t="s">
        <v>147</v>
      </c>
      <c r="H25" s="184" t="s">
        <v>148</v>
      </c>
      <c r="I25" s="185" t="s">
        <v>149</v>
      </c>
      <c r="J25" s="129"/>
      <c r="K25" s="38">
        <v>51</v>
      </c>
      <c r="L25" s="97" t="s">
        <v>150</v>
      </c>
      <c r="M25" s="38">
        <v>59</v>
      </c>
      <c r="N25" s="37" t="s">
        <v>151</v>
      </c>
      <c r="P25" s="4" t="s">
        <v>83</v>
      </c>
      <c r="Q25" s="4" t="s">
        <v>152</v>
      </c>
      <c r="R25" s="125"/>
      <c r="S25" s="125"/>
      <c r="T25" s="125"/>
      <c r="U25" s="125"/>
      <c r="V25" s="125"/>
      <c r="W25" s="125"/>
      <c r="X25" s="125"/>
      <c r="Y25" s="125"/>
    </row>
    <row r="26" spans="1:82" s="16" customFormat="1" ht="15" customHeight="1" x14ac:dyDescent="0.25">
      <c r="A26" s="69">
        <f>IF(ISNUMBER(C26),0,1)+IF(ISNUMBER(D26),0,1)+IF(ISNUMBER(E26),0,1)+IF(OR(C26&gt;100,D26&gt;100,E26&gt;100),1,0)</f>
        <v>0</v>
      </c>
      <c r="B26" s="72" t="s">
        <v>153</v>
      </c>
      <c r="C26" s="135">
        <v>13</v>
      </c>
      <c r="D26" s="135">
        <v>12</v>
      </c>
      <c r="E26" s="136">
        <v>14</v>
      </c>
      <c r="F26" s="137">
        <f>IF(AND([1]kf!K12&lt;&gt;"Weeds in cereals",OR(AND(C26&gt;29,C26&lt;40),AND(C26&gt;49,C26&lt;60))),1,0)</f>
        <v>0</v>
      </c>
      <c r="G26" s="184"/>
      <c r="H26" s="184"/>
      <c r="I26" s="185"/>
      <c r="J26" s="1"/>
      <c r="K26" s="38">
        <v>55</v>
      </c>
      <c r="L26" s="97" t="s">
        <v>154</v>
      </c>
      <c r="M26" s="38">
        <v>61</v>
      </c>
      <c r="N26" s="37" t="s">
        <v>155</v>
      </c>
      <c r="P26" s="4" t="s">
        <v>90</v>
      </c>
      <c r="Q26" s="4" t="s">
        <v>156</v>
      </c>
      <c r="R26" s="125"/>
      <c r="S26" s="125"/>
      <c r="T26" s="125"/>
      <c r="U26" s="125"/>
      <c r="V26" s="125"/>
      <c r="W26" s="125"/>
      <c r="X26" s="125"/>
      <c r="Y26" s="125"/>
    </row>
    <row r="27" spans="1:82" s="16" customFormat="1" ht="15" customHeight="1" x14ac:dyDescent="0.25">
      <c r="A27" s="69" t="e">
        <f>IF(ISNUMBER(C27),0,1)+IF(ISNUMBER(#REF!),0,1)+IF(ISNUMBER(E27),0,1)+IF(OR(C27&lt;#REF!,C27&lt;E27,SUM(C27:E27)&gt;100),1,0)</f>
        <v>#REF!</v>
      </c>
      <c r="B27" s="72" t="s">
        <v>157</v>
      </c>
      <c r="C27" s="136">
        <v>80</v>
      </c>
      <c r="D27" s="135">
        <v>10</v>
      </c>
      <c r="E27" s="136">
        <v>10</v>
      </c>
      <c r="F27" s="1"/>
      <c r="G27" s="138"/>
      <c r="H27" s="138"/>
      <c r="I27" s="138"/>
      <c r="J27" s="1"/>
      <c r="K27" s="38">
        <v>59</v>
      </c>
      <c r="L27" s="97" t="s">
        <v>158</v>
      </c>
      <c r="M27" s="38">
        <v>65</v>
      </c>
      <c r="N27" s="37" t="s">
        <v>159</v>
      </c>
      <c r="P27" s="4" t="s">
        <v>109</v>
      </c>
      <c r="Q27" s="4" t="s">
        <v>160</v>
      </c>
      <c r="R27" s="125"/>
      <c r="S27" s="125"/>
      <c r="T27" s="125"/>
      <c r="U27" s="125"/>
      <c r="V27" s="125"/>
      <c r="W27" s="125"/>
      <c r="X27" s="125"/>
      <c r="Y27" s="125"/>
    </row>
    <row r="28" spans="1:82" s="16" customFormat="1" ht="15" customHeight="1" x14ac:dyDescent="0.25">
      <c r="A28" s="69">
        <f>IF(ISNUMBER(C28),0,1)+IF(ISNUMBER(D27),0,1)+IF(ISNUMBER(E28),0,1)+IF(D27&gt;C28,1,0)+IF(OR(E28&lt;C28,E28&lt;D27),1,0)</f>
        <v>0</v>
      </c>
      <c r="B28" s="72" t="s">
        <v>161</v>
      </c>
      <c r="C28" s="135">
        <v>12</v>
      </c>
      <c r="D28" s="16">
        <v>10</v>
      </c>
      <c r="E28" s="136">
        <v>14</v>
      </c>
      <c r="F28" s="1"/>
      <c r="G28" s="139" t="str">
        <f>[1]Maskiner!Q26</f>
        <v>E Speedy 2006</v>
      </c>
      <c r="H28" s="139" t="str">
        <f>[1]Maskiner!R26</f>
        <v>HSE 3.1</v>
      </c>
      <c r="I28" s="140">
        <f>[1]Maskiner!S26</f>
        <v>46</v>
      </c>
      <c r="J28" s="1"/>
      <c r="K28" s="38">
        <v>61</v>
      </c>
      <c r="L28" s="97" t="s">
        <v>162</v>
      </c>
      <c r="M28" s="38">
        <v>69</v>
      </c>
      <c r="N28" s="37" t="s">
        <v>163</v>
      </c>
      <c r="P28" s="4" t="s">
        <v>114</v>
      </c>
      <c r="Q28" s="4" t="s">
        <v>164</v>
      </c>
      <c r="R28" s="125"/>
      <c r="S28" s="125"/>
      <c r="T28" s="125"/>
      <c r="U28" s="125"/>
      <c r="V28" s="125"/>
      <c r="W28" s="125"/>
      <c r="X28" s="125"/>
      <c r="Y28" s="125"/>
    </row>
    <row r="29" spans="1:82" s="16" customFormat="1" ht="15" customHeight="1" x14ac:dyDescent="0.2">
      <c r="A29" s="131">
        <f>IF(ISNUMBER(C29),0,1)</f>
        <v>0</v>
      </c>
      <c r="B29" s="72" t="s">
        <v>165</v>
      </c>
      <c r="C29" s="136">
        <v>17</v>
      </c>
      <c r="E29" s="165" t="str">
        <f>IF(SUM(A2,A7,A14,A24,A36)=0,"Allt klart!",IF(AND(SUM(A2,A7,A14,A24)=0,A36=1),"Du har glömt att signera!",VLOOKUP(A1,P2:Q18,2,0)))</f>
        <v>Allt klart!</v>
      </c>
      <c r="F29" s="166"/>
      <c r="G29" s="139" t="str">
        <f>[1]Maskiner!Q27</f>
        <v>E Speedy 2018</v>
      </c>
      <c r="H29" s="139" t="str">
        <f>[1]Maskiner!R27</f>
        <v>HSE 3.12</v>
      </c>
      <c r="I29" s="140">
        <f>[1]Maskiner!S27</f>
        <v>46</v>
      </c>
      <c r="J29" s="141"/>
      <c r="K29" s="40">
        <v>65</v>
      </c>
      <c r="L29" s="5" t="s">
        <v>166</v>
      </c>
      <c r="M29" s="38">
        <v>70</v>
      </c>
      <c r="N29" s="37" t="s">
        <v>167</v>
      </c>
      <c r="P29" s="4" t="s">
        <v>121</v>
      </c>
      <c r="Q29" s="4" t="s">
        <v>168</v>
      </c>
      <c r="R29" s="125"/>
      <c r="S29" s="125"/>
      <c r="T29" s="125"/>
      <c r="U29" s="125"/>
      <c r="V29" s="125"/>
      <c r="W29" s="125"/>
      <c r="X29" s="125"/>
      <c r="Y29" s="125"/>
    </row>
    <row r="30" spans="1:82" s="16" customFormat="1" ht="15" customHeight="1" x14ac:dyDescent="0.2">
      <c r="A30" s="142">
        <f>IF(ISTEXT(C30),0,1)</f>
        <v>0</v>
      </c>
      <c r="B30" s="72" t="s">
        <v>169</v>
      </c>
      <c r="C30" s="143" t="s">
        <v>114</v>
      </c>
      <c r="E30" s="165"/>
      <c r="F30" s="166"/>
      <c r="G30" s="139" t="str">
        <f>[1]Maskiner!Q28</f>
        <v>E Agrotop 1991</v>
      </c>
      <c r="H30" s="139" t="str">
        <f>[1]Maskiner!R28</f>
        <v>HSE 3.3</v>
      </c>
      <c r="I30" s="140">
        <f>[1]Maskiner!S28</f>
        <v>50</v>
      </c>
      <c r="J30" s="141"/>
      <c r="K30" s="38">
        <v>69</v>
      </c>
      <c r="L30" s="97" t="s">
        <v>163</v>
      </c>
      <c r="M30" s="38">
        <v>71</v>
      </c>
      <c r="N30" s="37" t="s">
        <v>170</v>
      </c>
      <c r="P30" s="4" t="s">
        <v>19</v>
      </c>
      <c r="Q30" s="4" t="s">
        <v>171</v>
      </c>
      <c r="R30" s="125"/>
      <c r="S30" s="125"/>
      <c r="T30" s="125"/>
      <c r="U30" s="125"/>
      <c r="V30" s="125"/>
      <c r="W30" s="125"/>
      <c r="X30" s="125"/>
      <c r="Y30" s="125"/>
    </row>
    <row r="31" spans="1:82" s="4" customFormat="1" ht="15" customHeight="1" x14ac:dyDescent="0.2">
      <c r="A31" s="142">
        <f>IF(AND(C31&gt;=0,C31&lt;=100),0,1)</f>
        <v>0</v>
      </c>
      <c r="B31" s="72" t="s">
        <v>172</v>
      </c>
      <c r="C31" s="144">
        <v>60</v>
      </c>
      <c r="E31" s="165"/>
      <c r="F31" s="166"/>
      <c r="G31" s="139" t="str">
        <f>[1]Maskiner!Q29</f>
        <v>E Hardi 12 m årsm 2000</v>
      </c>
      <c r="H31" s="139" t="str">
        <f>[1]Maskiner!R29</f>
        <v>HSE 3.4</v>
      </c>
      <c r="I31" s="140">
        <f>[1]Maskiner!S29</f>
        <v>50</v>
      </c>
      <c r="J31" s="141"/>
      <c r="K31" s="38">
        <v>73</v>
      </c>
      <c r="L31" s="97" t="s">
        <v>173</v>
      </c>
      <c r="M31" s="38" t="s">
        <v>174</v>
      </c>
      <c r="N31" s="37" t="s">
        <v>175</v>
      </c>
      <c r="P31" s="4" t="s">
        <v>26</v>
      </c>
      <c r="Q31" s="4" t="s">
        <v>176</v>
      </c>
      <c r="R31" s="6"/>
      <c r="S31" s="6"/>
      <c r="T31" s="6"/>
      <c r="U31" s="6"/>
      <c r="V31" s="6"/>
      <c r="W31" s="6"/>
      <c r="X31" s="6"/>
      <c r="Y31" s="6"/>
    </row>
    <row r="32" spans="1:82" s="16" customFormat="1" ht="15" customHeight="1" x14ac:dyDescent="0.2">
      <c r="A32" s="142">
        <f>IF(ISTEXT(C32),0,1)</f>
        <v>0</v>
      </c>
      <c r="B32" s="72" t="s">
        <v>177</v>
      </c>
      <c r="C32" s="144" t="s">
        <v>178</v>
      </c>
      <c r="D32" s="145" t="s">
        <v>179</v>
      </c>
      <c r="E32" s="165"/>
      <c r="F32" s="166"/>
      <c r="G32" s="139" t="e">
        <f>[1]Maskiner!Q30</f>
        <v>#N/A</v>
      </c>
      <c r="H32" s="139" t="e">
        <f>[1]Maskiner!R30</f>
        <v>#N/A</v>
      </c>
      <c r="I32" s="140" t="e">
        <f>[1]Maskiner!S30</f>
        <v>#N/A</v>
      </c>
      <c r="J32" s="141"/>
      <c r="K32" s="38">
        <v>75</v>
      </c>
      <c r="L32" s="97" t="s">
        <v>180</v>
      </c>
      <c r="M32" s="167"/>
      <c r="N32" s="168"/>
      <c r="P32" s="4" t="s">
        <v>33</v>
      </c>
      <c r="Q32" s="4" t="s">
        <v>181</v>
      </c>
      <c r="R32" s="125"/>
      <c r="S32" s="125"/>
      <c r="T32" s="125"/>
      <c r="U32" s="125"/>
      <c r="V32" s="125"/>
      <c r="W32" s="125"/>
      <c r="X32" s="125"/>
      <c r="Y32" s="125"/>
    </row>
    <row r="33" spans="1:25" s="16" customFormat="1" ht="15" customHeight="1" x14ac:dyDescent="0.25">
      <c r="A33" s="142">
        <f>IF(ISTEXT(C33),0,1)</f>
        <v>0</v>
      </c>
      <c r="B33" s="72" t="s">
        <v>182</v>
      </c>
      <c r="C33" s="146" t="s">
        <v>33</v>
      </c>
      <c r="D33" s="3"/>
      <c r="E33" s="165"/>
      <c r="F33" s="166"/>
      <c r="G33" s="139" t="e">
        <f>[1]Maskiner!Q31</f>
        <v>#N/A</v>
      </c>
      <c r="H33" s="139" t="e">
        <f>[1]Maskiner!R31</f>
        <v>#N/A</v>
      </c>
      <c r="I33" s="140" t="e">
        <f>[1]Maskiner!S31</f>
        <v>#N/A</v>
      </c>
      <c r="J33" s="141"/>
      <c r="K33" s="38">
        <v>77</v>
      </c>
      <c r="L33" s="97" t="s">
        <v>183</v>
      </c>
      <c r="M33" s="169"/>
      <c r="N33" s="170"/>
      <c r="R33" s="125"/>
      <c r="S33" s="125"/>
      <c r="T33" s="125"/>
      <c r="U33" s="125"/>
      <c r="V33" s="125"/>
      <c r="W33" s="125"/>
      <c r="X33" s="125"/>
      <c r="Y33" s="125"/>
    </row>
    <row r="34" spans="1:25" s="16" customFormat="1" ht="15" customHeight="1" x14ac:dyDescent="0.25">
      <c r="A34" s="142">
        <f>IF(AND(C34&gt;=5,C34&lt;=100),0,1)</f>
        <v>0</v>
      </c>
      <c r="B34" s="72" t="s">
        <v>184</v>
      </c>
      <c r="C34" s="144">
        <v>23</v>
      </c>
      <c r="D34" s="3"/>
      <c r="E34" s="165"/>
      <c r="F34" s="166"/>
      <c r="G34" s="139" t="e">
        <f>[1]Maskiner!Q32</f>
        <v>#N/A</v>
      </c>
      <c r="H34" s="139" t="e">
        <f>[1]Maskiner!R32</f>
        <v>#N/A</v>
      </c>
      <c r="I34" s="140" t="e">
        <f>[1]Maskiner!S32</f>
        <v>#N/A</v>
      </c>
      <c r="J34" s="141"/>
      <c r="K34" s="38">
        <v>83</v>
      </c>
      <c r="L34" s="97" t="s">
        <v>185</v>
      </c>
      <c r="M34" s="169"/>
      <c r="N34" s="170"/>
      <c r="R34" s="125"/>
      <c r="S34" s="125"/>
      <c r="T34" s="125"/>
      <c r="U34" s="125"/>
      <c r="V34" s="125"/>
      <c r="W34" s="125"/>
      <c r="X34" s="125"/>
      <c r="Y34" s="125"/>
    </row>
    <row r="35" spans="1:25" s="16" customFormat="1" ht="15" customHeight="1" x14ac:dyDescent="0.25">
      <c r="A35" s="131">
        <f>IF(OR(C28&gt;E28,C28&lt;D27,D27&gt;E28),0.5,0)</f>
        <v>0</v>
      </c>
      <c r="B35" s="123" t="s">
        <v>186</v>
      </c>
      <c r="C35" s="144"/>
      <c r="D35" s="147" t="s">
        <v>187</v>
      </c>
      <c r="E35" s="1"/>
      <c r="F35" s="1"/>
      <c r="G35" s="139" t="e">
        <f>[1]Maskiner!Q33</f>
        <v>#N/A</v>
      </c>
      <c r="H35" s="139" t="e">
        <f>[1]Maskiner!R33</f>
        <v>#N/A</v>
      </c>
      <c r="I35" s="140" t="e">
        <f>[1]Maskiner!S33</f>
        <v>#N/A</v>
      </c>
      <c r="J35" s="141"/>
      <c r="K35" s="38">
        <v>85</v>
      </c>
      <c r="L35" s="97" t="s">
        <v>188</v>
      </c>
      <c r="M35" s="169"/>
      <c r="N35" s="170"/>
      <c r="R35" s="125"/>
      <c r="S35" s="125"/>
      <c r="T35" s="125"/>
      <c r="U35" s="125"/>
      <c r="V35" s="125"/>
      <c r="W35" s="125"/>
      <c r="X35" s="125"/>
      <c r="Y35" s="125"/>
    </row>
    <row r="36" spans="1:25" s="16" customFormat="1" ht="15" customHeight="1" x14ac:dyDescent="0.25">
      <c r="A36" s="69">
        <f>COUNTBLANK(C36)</f>
        <v>0</v>
      </c>
      <c r="B36" s="148" t="s">
        <v>189</v>
      </c>
      <c r="C36" s="173" t="s">
        <v>190</v>
      </c>
      <c r="D36" s="174"/>
      <c r="E36" s="1"/>
      <c r="F36" s="1"/>
      <c r="G36" s="139" t="e">
        <f>[1]Maskiner!Q34</f>
        <v>#N/A</v>
      </c>
      <c r="H36" s="139" t="e">
        <f>[1]Maskiner!R34</f>
        <v>#N/A</v>
      </c>
      <c r="I36" s="140" t="e">
        <f>[1]Maskiner!S34</f>
        <v>#N/A</v>
      </c>
      <c r="J36" s="149"/>
      <c r="K36" s="35">
        <v>87</v>
      </c>
      <c r="L36" s="150" t="s">
        <v>191</v>
      </c>
      <c r="M36" s="171"/>
      <c r="N36" s="172"/>
      <c r="R36" s="125"/>
      <c r="S36" s="125"/>
      <c r="T36" s="125"/>
      <c r="U36" s="125"/>
      <c r="V36" s="125"/>
      <c r="W36" s="125"/>
      <c r="X36" s="125"/>
      <c r="Y36" s="125"/>
    </row>
    <row r="37" spans="1:25" s="16" customFormat="1" ht="15" customHeight="1" x14ac:dyDescent="0.25">
      <c r="A37" s="69"/>
      <c r="F37" s="1"/>
      <c r="G37" s="1"/>
      <c r="H37" s="1"/>
      <c r="I37" s="1"/>
      <c r="J37" s="1"/>
      <c r="R37" s="125"/>
      <c r="S37" s="125"/>
      <c r="T37" s="125"/>
      <c r="U37" s="125"/>
      <c r="V37" s="125"/>
      <c r="W37" s="125"/>
      <c r="X37" s="125"/>
      <c r="Y37" s="125"/>
    </row>
    <row r="38" spans="1:25" s="16" customFormat="1" ht="13.5" customHeight="1" x14ac:dyDescent="0.25">
      <c r="A38" s="69"/>
      <c r="B38" s="1"/>
      <c r="C38" s="3"/>
      <c r="F38" s="1"/>
      <c r="G38" s="1"/>
      <c r="H38" s="1"/>
      <c r="I38" s="1"/>
      <c r="J38" s="1"/>
      <c r="R38" s="125"/>
      <c r="S38" s="125"/>
      <c r="T38" s="125"/>
      <c r="U38" s="125"/>
      <c r="V38" s="125"/>
      <c r="W38" s="125"/>
      <c r="X38" s="125"/>
      <c r="Y38" s="125"/>
    </row>
    <row r="39" spans="1:25" s="16" customFormat="1" ht="13.5" customHeight="1" x14ac:dyDescent="0.25">
      <c r="A39" s="69"/>
      <c r="B39" s="1"/>
      <c r="C39" s="3"/>
      <c r="D39" s="3"/>
      <c r="E39" s="1"/>
      <c r="F39" s="1"/>
      <c r="G39" s="1"/>
      <c r="H39" s="1"/>
      <c r="I39" s="1"/>
      <c r="J39" s="1"/>
      <c r="R39" s="125"/>
      <c r="S39" s="125"/>
      <c r="T39" s="125"/>
      <c r="U39" s="125"/>
      <c r="V39" s="125"/>
      <c r="W39" s="125"/>
      <c r="X39" s="125"/>
      <c r="Y39" s="125"/>
    </row>
    <row r="40" spans="1:25" s="16" customFormat="1" ht="13.5" customHeight="1" x14ac:dyDescent="0.25">
      <c r="A40" s="69"/>
      <c r="B40" s="1"/>
      <c r="C40" s="3"/>
      <c r="D40" s="3"/>
      <c r="E40" s="1"/>
      <c r="F40" s="1"/>
      <c r="G40" s="1"/>
      <c r="H40" s="1"/>
      <c r="I40" s="1"/>
      <c r="J40" s="1"/>
      <c r="R40" s="125"/>
      <c r="S40" s="125"/>
      <c r="T40" s="125"/>
      <c r="U40" s="125"/>
      <c r="V40" s="125"/>
      <c r="W40" s="125"/>
      <c r="X40" s="125"/>
      <c r="Y40" s="125"/>
    </row>
    <row r="41" spans="1:25" s="16" customFormat="1" ht="13.5" customHeight="1" x14ac:dyDescent="0.25">
      <c r="A41" s="69"/>
      <c r="B41" s="1"/>
      <c r="C41" s="3"/>
      <c r="D41" s="3"/>
      <c r="E41" s="1"/>
      <c r="F41" s="1"/>
      <c r="G41" s="1"/>
      <c r="H41" s="1"/>
      <c r="I41" s="1"/>
      <c r="J41" s="1"/>
      <c r="R41" s="125"/>
      <c r="S41" s="125"/>
      <c r="T41" s="125"/>
      <c r="U41" s="125"/>
      <c r="V41" s="125"/>
      <c r="W41" s="125"/>
      <c r="X41" s="125"/>
      <c r="Y41" s="125"/>
    </row>
    <row r="42" spans="1:25" s="16" customFormat="1" ht="13.5" customHeight="1" x14ac:dyDescent="0.25">
      <c r="A42" s="69"/>
      <c r="B42" s="1"/>
      <c r="C42" s="3"/>
      <c r="D42" s="3"/>
      <c r="E42" s="1"/>
      <c r="F42" s="1"/>
      <c r="G42" s="1"/>
      <c r="H42" s="1"/>
      <c r="I42" s="1"/>
      <c r="J42" s="1"/>
      <c r="R42" s="125"/>
      <c r="S42" s="125"/>
      <c r="T42" s="125"/>
      <c r="U42" s="125"/>
      <c r="V42" s="125"/>
      <c r="W42" s="125"/>
      <c r="X42" s="125"/>
      <c r="Y42" s="125"/>
    </row>
    <row r="43" spans="1:25" s="16" customFormat="1" ht="13.5" customHeight="1" x14ac:dyDescent="0.25">
      <c r="A43" s="69"/>
      <c r="B43" s="1"/>
      <c r="C43" s="3"/>
      <c r="D43" s="3"/>
      <c r="E43" s="1"/>
      <c r="F43" s="1"/>
      <c r="G43" s="1"/>
      <c r="H43" s="1"/>
      <c r="I43" s="1"/>
      <c r="J43" s="1"/>
      <c r="R43" s="125"/>
      <c r="S43" s="125"/>
      <c r="T43" s="125"/>
      <c r="U43" s="125"/>
      <c r="V43" s="125"/>
      <c r="W43" s="125"/>
      <c r="X43" s="125"/>
      <c r="Y43" s="125"/>
    </row>
    <row r="44" spans="1:25" s="16" customFormat="1" ht="13.5" customHeight="1" x14ac:dyDescent="0.25">
      <c r="A44" s="69"/>
      <c r="B44" s="1"/>
      <c r="C44" s="3"/>
      <c r="D44" s="3"/>
      <c r="E44" s="1"/>
      <c r="F44" s="1"/>
      <c r="G44" s="1"/>
      <c r="H44" s="1"/>
      <c r="I44" s="1"/>
      <c r="J44" s="1"/>
      <c r="R44" s="125"/>
      <c r="S44" s="125"/>
      <c r="T44" s="125"/>
      <c r="U44" s="125"/>
      <c r="V44" s="125"/>
      <c r="W44" s="125"/>
      <c r="X44" s="125"/>
      <c r="Y44" s="125"/>
    </row>
    <row r="45" spans="1:25" s="16" customFormat="1" ht="13.5" customHeight="1" x14ac:dyDescent="0.25">
      <c r="A45" s="69"/>
      <c r="B45" s="1"/>
      <c r="C45" s="3"/>
      <c r="D45" s="3"/>
      <c r="E45" s="1"/>
      <c r="F45" s="1"/>
      <c r="G45" s="1"/>
      <c r="H45" s="1"/>
      <c r="I45" s="1"/>
      <c r="J45" s="1"/>
      <c r="R45" s="125"/>
      <c r="S45" s="125"/>
      <c r="T45" s="125"/>
      <c r="U45" s="125"/>
      <c r="V45" s="125"/>
      <c r="W45" s="125"/>
      <c r="X45" s="125"/>
      <c r="Y45" s="125"/>
    </row>
    <row r="46" spans="1:25" s="16" customFormat="1" ht="13.5" customHeight="1" x14ac:dyDescent="0.25">
      <c r="A46" s="69"/>
      <c r="B46" s="1"/>
      <c r="C46" s="3"/>
      <c r="D46" s="3"/>
      <c r="E46" s="1"/>
      <c r="F46" s="1"/>
      <c r="G46" s="1"/>
      <c r="H46" s="1"/>
      <c r="I46" s="1"/>
      <c r="J46" s="1"/>
      <c r="R46" s="125"/>
      <c r="S46" s="125"/>
      <c r="T46" s="125"/>
      <c r="U46" s="125"/>
      <c r="V46" s="125"/>
      <c r="W46" s="125"/>
      <c r="X46" s="125"/>
      <c r="Y46" s="125"/>
    </row>
    <row r="47" spans="1:25" s="16" customFormat="1" ht="13.5" customHeight="1" x14ac:dyDescent="0.25">
      <c r="A47" s="69"/>
      <c r="B47" s="1"/>
      <c r="C47" s="3"/>
      <c r="D47" s="3"/>
      <c r="E47" s="1"/>
      <c r="F47" s="1"/>
      <c r="G47" s="1"/>
      <c r="H47" s="1"/>
      <c r="I47" s="1"/>
      <c r="J47" s="1"/>
      <c r="R47" s="125"/>
      <c r="S47" s="125"/>
      <c r="T47" s="125"/>
      <c r="U47" s="125"/>
      <c r="V47" s="125"/>
      <c r="W47" s="125"/>
      <c r="X47" s="125"/>
      <c r="Y47" s="125"/>
    </row>
    <row r="48" spans="1:25" s="16" customFormat="1" ht="13.5" customHeight="1" x14ac:dyDescent="0.25">
      <c r="A48" s="69"/>
      <c r="B48" s="1"/>
      <c r="C48" s="3"/>
      <c r="D48" s="3"/>
      <c r="E48" s="1"/>
      <c r="F48" s="1"/>
      <c r="G48" s="1"/>
      <c r="H48" s="1"/>
      <c r="I48" s="1"/>
      <c r="J48" s="1"/>
      <c r="R48" s="125"/>
      <c r="S48" s="125"/>
      <c r="T48" s="125"/>
      <c r="U48" s="125"/>
      <c r="V48" s="125"/>
      <c r="W48" s="125"/>
      <c r="X48" s="125"/>
      <c r="Y48" s="125"/>
    </row>
    <row r="49" spans="1:25" s="10" customFormat="1" ht="13.5" customHeight="1" x14ac:dyDescent="0.25">
      <c r="A49" s="69"/>
      <c r="B49" s="1"/>
      <c r="C49" s="3"/>
      <c r="D49" s="3"/>
      <c r="E49" s="1"/>
      <c r="F49" s="1"/>
      <c r="G49" s="1"/>
      <c r="H49" s="1"/>
      <c r="I49" s="1"/>
      <c r="J49" s="1"/>
      <c r="M49" s="16"/>
      <c r="N49" s="16"/>
      <c r="R49" s="151"/>
      <c r="S49" s="151"/>
      <c r="T49" s="151"/>
      <c r="U49" s="151"/>
      <c r="V49" s="151"/>
      <c r="W49" s="151"/>
      <c r="X49" s="151"/>
      <c r="Y49" s="151"/>
    </row>
    <row r="50" spans="1:25" s="4" customFormat="1" ht="13.5" customHeight="1" x14ac:dyDescent="0.25">
      <c r="A50" s="69"/>
      <c r="B50" s="1"/>
      <c r="C50" s="3"/>
      <c r="D50" s="3"/>
      <c r="E50" s="1"/>
      <c r="F50" s="1"/>
      <c r="G50" s="1"/>
      <c r="H50" s="1"/>
      <c r="I50" s="1"/>
      <c r="J50" s="1"/>
      <c r="M50" s="16"/>
      <c r="N50" s="10"/>
      <c r="R50" s="6"/>
      <c r="S50" s="6"/>
      <c r="T50" s="6"/>
      <c r="U50" s="6"/>
      <c r="V50" s="6"/>
      <c r="W50" s="6"/>
      <c r="X50" s="6"/>
      <c r="Y50" s="6"/>
    </row>
    <row r="51" spans="1:25" s="4" customFormat="1" ht="13.5" customHeight="1" x14ac:dyDescent="0.25">
      <c r="A51" s="69"/>
      <c r="B51" s="1"/>
      <c r="C51" s="3"/>
      <c r="D51" s="3"/>
      <c r="E51" s="1"/>
      <c r="F51" s="1"/>
      <c r="G51" s="1"/>
      <c r="H51" s="1"/>
      <c r="I51" s="1"/>
      <c r="J51" s="1"/>
      <c r="M51" s="10"/>
      <c r="R51" s="6"/>
      <c r="S51" s="6"/>
      <c r="T51" s="6"/>
      <c r="U51" s="6"/>
      <c r="V51" s="6"/>
      <c r="W51" s="6"/>
      <c r="X51" s="6"/>
      <c r="Y51" s="6"/>
    </row>
    <row r="52" spans="1:25" s="4" customFormat="1" ht="13.5" customHeight="1" x14ac:dyDescent="0.25">
      <c r="A52" s="69"/>
      <c r="B52" s="1"/>
      <c r="C52" s="3"/>
      <c r="D52" s="3"/>
      <c r="E52" s="1"/>
      <c r="F52" s="1"/>
      <c r="G52" s="1"/>
      <c r="H52" s="1"/>
      <c r="I52" s="1"/>
      <c r="J52" s="1"/>
      <c r="R52" s="6"/>
      <c r="S52" s="6"/>
      <c r="T52" s="6"/>
      <c r="U52" s="6"/>
      <c r="V52" s="6"/>
      <c r="W52" s="6"/>
      <c r="X52" s="6"/>
      <c r="Y52" s="6"/>
    </row>
    <row r="53" spans="1:25" s="4" customFormat="1" ht="7.5" customHeight="1" x14ac:dyDescent="0.25">
      <c r="A53" s="69"/>
      <c r="B53" s="1"/>
      <c r="C53" s="3"/>
      <c r="D53" s="3"/>
      <c r="E53" s="1"/>
      <c r="F53" s="1"/>
      <c r="G53" s="1"/>
      <c r="H53" s="1"/>
      <c r="I53" s="1"/>
      <c r="J53" s="1"/>
      <c r="R53" s="6"/>
      <c r="S53" s="6"/>
      <c r="T53" s="6"/>
      <c r="U53" s="6"/>
      <c r="V53" s="6"/>
      <c r="W53" s="6"/>
      <c r="X53" s="6"/>
      <c r="Y53" s="6"/>
    </row>
    <row r="54" spans="1:25" s="4" customFormat="1" ht="11.25" customHeight="1" x14ac:dyDescent="0.25">
      <c r="A54" s="69"/>
      <c r="B54" s="1"/>
      <c r="C54" s="3"/>
      <c r="D54" s="3"/>
      <c r="E54" s="1"/>
      <c r="F54" s="1"/>
      <c r="G54" s="1"/>
      <c r="H54" s="1"/>
      <c r="I54" s="1"/>
      <c r="J54" s="1"/>
      <c r="M54" s="16"/>
      <c r="N54" s="16"/>
      <c r="R54" s="6"/>
      <c r="S54" s="6"/>
      <c r="T54" s="6"/>
      <c r="U54" s="6"/>
      <c r="V54" s="6"/>
      <c r="W54" s="6"/>
      <c r="X54" s="6"/>
      <c r="Y54" s="6"/>
    </row>
    <row r="55" spans="1:25" s="4" customFormat="1" ht="11.25" customHeight="1" x14ac:dyDescent="0.25">
      <c r="A55" s="69"/>
      <c r="B55" s="1"/>
      <c r="C55" s="3"/>
      <c r="D55" s="3"/>
      <c r="E55" s="1"/>
      <c r="F55" s="1"/>
      <c r="G55" s="1"/>
      <c r="H55" s="1"/>
      <c r="I55" s="1"/>
      <c r="J55" s="1"/>
      <c r="M55" s="16"/>
      <c r="N55" s="16"/>
      <c r="R55" s="6"/>
      <c r="S55" s="6"/>
      <c r="T55" s="6"/>
      <c r="U55" s="6"/>
      <c r="V55" s="6"/>
      <c r="W55" s="6"/>
      <c r="X55" s="6"/>
      <c r="Y55" s="6"/>
    </row>
    <row r="56" spans="1:25" s="4" customFormat="1" ht="34.5" customHeight="1" x14ac:dyDescent="0.25">
      <c r="A56" s="69"/>
      <c r="B56" s="1"/>
      <c r="C56" s="3"/>
      <c r="D56" s="3"/>
      <c r="E56" s="1"/>
      <c r="F56" s="1"/>
      <c r="G56" s="1"/>
      <c r="H56" s="1"/>
      <c r="I56" s="1"/>
      <c r="J56" s="1"/>
      <c r="M56" s="16"/>
      <c r="N56" s="16"/>
      <c r="R56" s="6"/>
      <c r="S56" s="6"/>
      <c r="T56" s="6"/>
      <c r="U56" s="6"/>
      <c r="V56" s="6"/>
      <c r="W56" s="6"/>
      <c r="X56" s="6"/>
      <c r="Y56" s="6"/>
    </row>
    <row r="57" spans="1:25" s="4" customFormat="1" ht="13.5" customHeight="1" x14ac:dyDescent="0.25">
      <c r="A57" s="69"/>
      <c r="B57" s="1"/>
      <c r="C57" s="3"/>
      <c r="D57" s="3"/>
      <c r="E57" s="1"/>
      <c r="F57" s="1"/>
      <c r="G57" s="1"/>
      <c r="H57" s="1"/>
      <c r="I57" s="1"/>
      <c r="J57" s="1"/>
      <c r="M57" s="16"/>
      <c r="R57" s="6"/>
      <c r="S57" s="6"/>
      <c r="T57" s="6"/>
      <c r="U57" s="6"/>
      <c r="V57" s="6"/>
      <c r="W57" s="6"/>
      <c r="X57" s="6"/>
      <c r="Y57" s="6"/>
    </row>
    <row r="58" spans="1:25" s="4" customFormat="1" ht="11.25" customHeight="1" x14ac:dyDescent="0.25">
      <c r="A58" s="69"/>
      <c r="B58" s="1"/>
      <c r="C58" s="3"/>
      <c r="D58" s="3"/>
      <c r="E58" s="1"/>
      <c r="F58" s="1"/>
      <c r="G58" s="1"/>
      <c r="H58" s="1"/>
      <c r="I58" s="1"/>
      <c r="J58" s="1"/>
      <c r="R58" s="6"/>
      <c r="S58" s="6"/>
      <c r="T58" s="6"/>
      <c r="U58" s="6"/>
      <c r="V58" s="6"/>
      <c r="W58" s="6"/>
      <c r="X58" s="6"/>
      <c r="Y58" s="6"/>
    </row>
    <row r="59" spans="1:25" s="4" customFormat="1" ht="11.25" customHeight="1" x14ac:dyDescent="0.25">
      <c r="A59" s="69"/>
      <c r="B59" s="1"/>
      <c r="C59" s="3"/>
      <c r="D59" s="3"/>
      <c r="E59" s="1"/>
      <c r="F59" s="1"/>
      <c r="G59" s="1"/>
      <c r="H59" s="1"/>
      <c r="I59" s="1"/>
      <c r="J59" s="1"/>
      <c r="R59" s="6"/>
      <c r="S59" s="6"/>
      <c r="T59" s="6"/>
      <c r="U59" s="6"/>
      <c r="V59" s="6"/>
      <c r="W59" s="6"/>
      <c r="X59" s="6"/>
      <c r="Y59" s="6"/>
    </row>
    <row r="60" spans="1:25" s="4" customFormat="1" ht="11.25" customHeight="1" x14ac:dyDescent="0.25">
      <c r="A60" s="69"/>
      <c r="B60" s="1"/>
      <c r="C60" s="3"/>
      <c r="D60" s="3"/>
      <c r="E60" s="1"/>
      <c r="F60" s="1"/>
      <c r="G60" s="1"/>
      <c r="H60" s="1"/>
      <c r="I60" s="1"/>
      <c r="J60" s="1"/>
      <c r="R60" s="6"/>
      <c r="S60" s="6"/>
      <c r="T60" s="6"/>
      <c r="U60" s="6"/>
      <c r="V60" s="6"/>
      <c r="W60" s="6"/>
      <c r="X60" s="6"/>
      <c r="Y60" s="6"/>
    </row>
    <row r="61" spans="1:25" s="4" customFormat="1" ht="11.25" customHeight="1" x14ac:dyDescent="0.25">
      <c r="A61" s="69"/>
      <c r="B61" s="1"/>
      <c r="C61" s="3"/>
      <c r="D61" s="3"/>
      <c r="E61" s="1"/>
      <c r="F61" s="1"/>
      <c r="G61" s="1"/>
      <c r="H61" s="1"/>
      <c r="I61" s="1"/>
      <c r="J61" s="1"/>
      <c r="R61" s="6"/>
      <c r="S61" s="6"/>
      <c r="T61" s="6"/>
      <c r="U61" s="6"/>
      <c r="V61" s="6"/>
      <c r="W61" s="6"/>
      <c r="X61" s="6"/>
      <c r="Y61" s="6"/>
    </row>
    <row r="62" spans="1:25" s="4" customFormat="1" ht="11.25" customHeight="1" x14ac:dyDescent="0.25">
      <c r="A62" s="69"/>
      <c r="B62" s="1"/>
      <c r="C62" s="3"/>
      <c r="D62" s="3"/>
      <c r="E62" s="1"/>
      <c r="F62" s="1"/>
      <c r="G62" s="1"/>
      <c r="H62" s="1"/>
      <c r="I62" s="1"/>
      <c r="J62" s="1"/>
      <c r="R62" s="6"/>
      <c r="S62" s="6"/>
      <c r="T62" s="6"/>
      <c r="U62" s="6"/>
      <c r="V62" s="6"/>
      <c r="W62" s="6"/>
      <c r="X62" s="6"/>
      <c r="Y62" s="6"/>
    </row>
    <row r="63" spans="1:25" s="4" customFormat="1" ht="11.25" customHeight="1" x14ac:dyDescent="0.25">
      <c r="A63" s="69"/>
      <c r="B63" s="1"/>
      <c r="C63" s="3"/>
      <c r="D63" s="3"/>
      <c r="E63" s="1"/>
      <c r="F63" s="1"/>
      <c r="G63" s="1"/>
      <c r="H63" s="1"/>
      <c r="I63" s="1"/>
      <c r="J63" s="1"/>
      <c r="R63" s="6"/>
      <c r="S63" s="6"/>
      <c r="T63" s="6"/>
      <c r="U63" s="6"/>
      <c r="V63" s="6"/>
      <c r="W63" s="6"/>
      <c r="X63" s="6"/>
      <c r="Y63" s="6"/>
    </row>
    <row r="64" spans="1:25" s="4" customFormat="1" ht="11.25" customHeight="1" x14ac:dyDescent="0.25">
      <c r="A64" s="69"/>
      <c r="B64" s="1"/>
      <c r="C64" s="3"/>
      <c r="D64" s="3"/>
      <c r="E64" s="1"/>
      <c r="F64" s="1"/>
      <c r="G64" s="1"/>
      <c r="H64" s="1"/>
      <c r="I64" s="1"/>
      <c r="J64" s="1"/>
      <c r="R64" s="6"/>
      <c r="S64" s="6"/>
      <c r="T64" s="6"/>
      <c r="U64" s="6"/>
      <c r="V64" s="6"/>
      <c r="W64" s="6"/>
      <c r="X64" s="6"/>
      <c r="Y64" s="6"/>
    </row>
    <row r="65" spans="1:25" s="4" customFormat="1" ht="11.25" customHeight="1" x14ac:dyDescent="0.25">
      <c r="A65" s="69"/>
      <c r="B65" s="1"/>
      <c r="C65" s="3"/>
      <c r="D65" s="3"/>
      <c r="E65" s="1"/>
      <c r="F65" s="1"/>
      <c r="G65" s="1"/>
      <c r="H65" s="1"/>
      <c r="I65" s="1"/>
      <c r="J65" s="1"/>
      <c r="R65" s="6"/>
      <c r="S65" s="6"/>
      <c r="T65" s="6"/>
      <c r="U65" s="6"/>
      <c r="V65" s="6"/>
      <c r="W65" s="6"/>
      <c r="X65" s="6"/>
      <c r="Y65" s="6"/>
    </row>
    <row r="66" spans="1:25" s="4" customFormat="1" ht="11.25" customHeight="1" x14ac:dyDescent="0.25">
      <c r="A66" s="69"/>
      <c r="B66" s="1"/>
      <c r="C66" s="3"/>
      <c r="D66" s="3"/>
      <c r="E66" s="1"/>
      <c r="F66" s="1"/>
      <c r="G66" s="1"/>
      <c r="H66" s="1"/>
      <c r="I66" s="1"/>
      <c r="J66" s="1"/>
      <c r="R66" s="6"/>
      <c r="S66" s="6"/>
      <c r="T66" s="6"/>
      <c r="U66" s="6"/>
      <c r="V66" s="6"/>
      <c r="W66" s="6"/>
      <c r="X66" s="6"/>
      <c r="Y66" s="6"/>
    </row>
    <row r="67" spans="1:25" s="4" customFormat="1" ht="11.25" customHeight="1" x14ac:dyDescent="0.25">
      <c r="A67" s="69"/>
      <c r="B67" s="1"/>
      <c r="C67" s="3"/>
      <c r="D67" s="3"/>
      <c r="E67" s="1"/>
      <c r="F67" s="1"/>
      <c r="G67" s="1"/>
      <c r="H67" s="1"/>
      <c r="I67" s="1"/>
      <c r="J67" s="1"/>
      <c r="R67" s="6"/>
      <c r="S67" s="6"/>
      <c r="T67" s="6"/>
      <c r="U67" s="6"/>
      <c r="V67" s="6"/>
      <c r="W67" s="6"/>
      <c r="X67" s="6"/>
      <c r="Y67" s="6"/>
    </row>
    <row r="68" spans="1:25" s="4" customFormat="1" ht="11.25" customHeight="1" x14ac:dyDescent="0.25">
      <c r="A68" s="69"/>
      <c r="B68" s="1"/>
      <c r="C68" s="3"/>
      <c r="D68" s="3"/>
      <c r="E68" s="1"/>
      <c r="F68" s="1"/>
      <c r="G68" s="1"/>
      <c r="H68" s="1"/>
      <c r="I68" s="1"/>
      <c r="J68" s="1"/>
      <c r="R68" s="6"/>
      <c r="S68" s="6"/>
      <c r="T68" s="6"/>
      <c r="U68" s="6"/>
      <c r="V68" s="6"/>
      <c r="W68" s="6"/>
      <c r="X68" s="6"/>
      <c r="Y68" s="6"/>
    </row>
    <row r="69" spans="1:25" s="4" customFormat="1" ht="11.25" customHeight="1" x14ac:dyDescent="0.25">
      <c r="A69" s="69"/>
      <c r="B69" s="1"/>
      <c r="C69" s="3"/>
      <c r="D69" s="3"/>
      <c r="E69" s="1"/>
      <c r="F69" s="1"/>
      <c r="G69" s="1"/>
      <c r="H69" s="1"/>
      <c r="I69" s="1"/>
      <c r="J69" s="1"/>
      <c r="R69" s="6"/>
      <c r="S69" s="6"/>
      <c r="T69" s="6"/>
      <c r="U69" s="6"/>
      <c r="V69" s="6"/>
      <c r="W69" s="6"/>
      <c r="X69" s="6"/>
      <c r="Y69" s="6"/>
    </row>
    <row r="70" spans="1:25" s="4" customFormat="1" ht="11.25" customHeight="1" x14ac:dyDescent="0.25">
      <c r="A70" s="69"/>
      <c r="B70" s="1"/>
      <c r="C70" s="3"/>
      <c r="D70" s="3"/>
      <c r="E70" s="1"/>
      <c r="F70" s="1"/>
      <c r="G70" s="1"/>
      <c r="H70" s="1"/>
      <c r="I70" s="1"/>
      <c r="J70" s="1"/>
      <c r="R70" s="6"/>
      <c r="S70" s="6"/>
      <c r="T70" s="6"/>
      <c r="U70" s="6"/>
      <c r="V70" s="6"/>
      <c r="W70" s="6"/>
      <c r="X70" s="6"/>
      <c r="Y70" s="6"/>
    </row>
    <row r="71" spans="1:25" s="4" customFormat="1" ht="11.25" customHeight="1" x14ac:dyDescent="0.25">
      <c r="A71" s="69"/>
      <c r="B71" s="1"/>
      <c r="C71" s="3"/>
      <c r="D71" s="3"/>
      <c r="E71" s="1"/>
      <c r="F71" s="1"/>
      <c r="G71" s="1"/>
      <c r="H71" s="1"/>
      <c r="I71" s="1"/>
      <c r="J71" s="1"/>
      <c r="R71" s="6"/>
      <c r="S71" s="6"/>
      <c r="T71" s="6"/>
      <c r="U71" s="6"/>
      <c r="V71" s="6"/>
      <c r="W71" s="6"/>
      <c r="X71" s="6"/>
      <c r="Y71" s="6"/>
    </row>
    <row r="72" spans="1:25" s="4" customFormat="1" ht="11.25" customHeight="1" x14ac:dyDescent="0.25">
      <c r="A72" s="69"/>
      <c r="B72" s="1"/>
      <c r="C72" s="3"/>
      <c r="D72" s="3"/>
      <c r="E72" s="1"/>
      <c r="F72" s="1"/>
      <c r="G72" s="1"/>
      <c r="H72" s="1"/>
      <c r="I72" s="1"/>
      <c r="J72" s="1"/>
      <c r="R72" s="6"/>
      <c r="S72" s="6"/>
      <c r="T72" s="6"/>
      <c r="U72" s="6"/>
      <c r="V72" s="6"/>
      <c r="W72" s="6"/>
      <c r="X72" s="6"/>
      <c r="Y72" s="6"/>
    </row>
    <row r="73" spans="1:25" s="4" customFormat="1" ht="11.25" customHeight="1" x14ac:dyDescent="0.25">
      <c r="A73" s="69"/>
      <c r="B73" s="1"/>
      <c r="C73" s="3"/>
      <c r="D73" s="3"/>
      <c r="E73" s="1"/>
      <c r="F73" s="1"/>
      <c r="G73" s="1"/>
      <c r="H73" s="1"/>
      <c r="I73" s="1"/>
      <c r="J73" s="1"/>
      <c r="R73" s="6"/>
      <c r="S73" s="6"/>
      <c r="T73" s="6"/>
      <c r="U73" s="6"/>
      <c r="V73" s="6"/>
      <c r="W73" s="6"/>
      <c r="X73" s="6"/>
      <c r="Y73" s="6"/>
    </row>
    <row r="74" spans="1:25" s="4" customFormat="1" ht="11.25" customHeight="1" x14ac:dyDescent="0.25">
      <c r="A74" s="69"/>
      <c r="B74" s="1"/>
      <c r="C74" s="3"/>
      <c r="D74" s="3"/>
      <c r="E74" s="1"/>
      <c r="F74" s="1"/>
      <c r="G74" s="1"/>
      <c r="H74" s="1"/>
      <c r="I74" s="1"/>
      <c r="J74" s="1"/>
      <c r="R74" s="6"/>
      <c r="S74" s="6"/>
      <c r="T74" s="6"/>
      <c r="U74" s="6"/>
      <c r="V74" s="6"/>
      <c r="W74" s="6"/>
      <c r="X74" s="6"/>
      <c r="Y74" s="6"/>
    </row>
    <row r="75" spans="1:25" s="4" customFormat="1" ht="11.25" customHeight="1" x14ac:dyDescent="0.25">
      <c r="A75" s="69"/>
      <c r="B75" s="1"/>
      <c r="C75" s="3"/>
      <c r="D75" s="3"/>
      <c r="E75" s="1"/>
      <c r="F75" s="1"/>
      <c r="G75" s="1"/>
      <c r="H75" s="1"/>
      <c r="I75" s="1"/>
      <c r="J75" s="1"/>
      <c r="R75" s="6"/>
      <c r="S75" s="6"/>
      <c r="T75" s="6"/>
      <c r="U75" s="6"/>
      <c r="V75" s="6"/>
      <c r="W75" s="6"/>
      <c r="X75" s="6"/>
      <c r="Y75" s="6"/>
    </row>
    <row r="76" spans="1:25" s="4" customFormat="1" ht="11.25" customHeight="1" x14ac:dyDescent="0.25">
      <c r="A76" s="69"/>
      <c r="B76" s="1"/>
      <c r="C76" s="3"/>
      <c r="D76" s="3"/>
      <c r="E76" s="1"/>
      <c r="F76" s="1"/>
      <c r="G76" s="1"/>
      <c r="H76" s="1"/>
      <c r="I76" s="1"/>
      <c r="J76" s="1"/>
      <c r="R76" s="6"/>
      <c r="S76" s="6"/>
      <c r="T76" s="6"/>
      <c r="U76" s="6"/>
      <c r="V76" s="6"/>
      <c r="W76" s="6"/>
      <c r="X76" s="6"/>
      <c r="Y76" s="6"/>
    </row>
    <row r="77" spans="1:25" s="4" customFormat="1" ht="11.25" customHeight="1" x14ac:dyDescent="0.25">
      <c r="A77" s="69"/>
      <c r="B77" s="1"/>
      <c r="C77" s="3"/>
      <c r="D77" s="3"/>
      <c r="E77" s="1"/>
      <c r="F77" s="1"/>
      <c r="G77" s="1"/>
      <c r="H77" s="1"/>
      <c r="I77" s="1"/>
      <c r="J77" s="1"/>
      <c r="R77" s="6"/>
      <c r="S77" s="6"/>
      <c r="T77" s="6"/>
      <c r="U77" s="6"/>
      <c r="V77" s="6"/>
      <c r="W77" s="6"/>
      <c r="X77" s="6"/>
      <c r="Y77" s="6"/>
    </row>
    <row r="78" spans="1:25" s="4" customFormat="1" ht="11.25" customHeight="1" x14ac:dyDescent="0.25">
      <c r="A78" s="69"/>
      <c r="B78" s="1"/>
      <c r="C78" s="3"/>
      <c r="D78" s="3"/>
      <c r="E78" s="1"/>
      <c r="F78" s="1"/>
      <c r="G78" s="1"/>
      <c r="H78" s="1"/>
      <c r="I78" s="1"/>
      <c r="J78" s="1"/>
      <c r="R78" s="6"/>
      <c r="S78" s="6"/>
      <c r="T78" s="6"/>
      <c r="U78" s="6"/>
      <c r="V78" s="6"/>
      <c r="W78" s="6"/>
      <c r="X78" s="6"/>
      <c r="Y78" s="6"/>
    </row>
    <row r="79" spans="1:25" s="4" customFormat="1" ht="11.25" customHeight="1" x14ac:dyDescent="0.25">
      <c r="A79" s="69"/>
      <c r="B79" s="1"/>
      <c r="C79" s="3"/>
      <c r="D79" s="3"/>
      <c r="E79" s="1"/>
      <c r="F79" s="1"/>
      <c r="G79" s="1"/>
      <c r="H79" s="1"/>
      <c r="I79" s="1"/>
      <c r="J79" s="1"/>
      <c r="R79" s="6"/>
      <c r="S79" s="6"/>
      <c r="T79" s="6"/>
      <c r="U79" s="6"/>
      <c r="V79" s="6"/>
      <c r="W79" s="6"/>
      <c r="X79" s="6"/>
      <c r="Y79" s="6"/>
    </row>
    <row r="80" spans="1:25" s="4" customFormat="1" ht="11.25" customHeight="1" x14ac:dyDescent="0.25">
      <c r="A80" s="69"/>
      <c r="B80" s="1"/>
      <c r="C80" s="3"/>
      <c r="D80" s="3"/>
      <c r="E80" s="1"/>
      <c r="F80" s="1"/>
      <c r="G80" s="1"/>
      <c r="H80" s="1"/>
      <c r="I80" s="1"/>
      <c r="J80" s="1"/>
      <c r="R80" s="6"/>
      <c r="S80" s="6"/>
      <c r="T80" s="6"/>
      <c r="U80" s="6"/>
      <c r="V80" s="6"/>
      <c r="W80" s="6"/>
      <c r="X80" s="6"/>
      <c r="Y80" s="6"/>
    </row>
    <row r="81" spans="1:25" s="4" customFormat="1" ht="11.25" customHeight="1" x14ac:dyDescent="0.25">
      <c r="A81" s="69"/>
      <c r="B81" s="1"/>
      <c r="C81" s="3"/>
      <c r="D81" s="3"/>
      <c r="E81" s="1"/>
      <c r="F81" s="1"/>
      <c r="G81" s="1"/>
      <c r="H81" s="1"/>
      <c r="I81" s="1"/>
      <c r="J81" s="1"/>
      <c r="R81" s="6"/>
      <c r="S81" s="6"/>
      <c r="T81" s="6"/>
      <c r="U81" s="6"/>
      <c r="V81" s="6"/>
      <c r="W81" s="6"/>
      <c r="X81" s="6"/>
      <c r="Y81" s="6"/>
    </row>
    <row r="82" spans="1:25" s="4" customFormat="1" ht="11.25" customHeight="1" x14ac:dyDescent="0.25">
      <c r="A82" s="69"/>
      <c r="B82" s="1"/>
      <c r="C82" s="3"/>
      <c r="D82" s="3"/>
      <c r="E82" s="1"/>
      <c r="F82" s="1"/>
      <c r="G82" s="1"/>
      <c r="H82" s="1"/>
      <c r="I82" s="1"/>
      <c r="J82" s="1"/>
      <c r="R82" s="6"/>
      <c r="S82" s="6"/>
      <c r="T82" s="6"/>
      <c r="U82" s="6"/>
      <c r="V82" s="6"/>
      <c r="W82" s="6"/>
      <c r="X82" s="6"/>
      <c r="Y82" s="6"/>
    </row>
    <row r="83" spans="1:25" s="4" customFormat="1" ht="11.25" customHeight="1" x14ac:dyDescent="0.25">
      <c r="A83" s="69"/>
      <c r="B83" s="1"/>
      <c r="C83" s="3"/>
      <c r="D83" s="3"/>
      <c r="E83" s="1"/>
      <c r="F83" s="1"/>
      <c r="G83" s="1"/>
      <c r="H83" s="1"/>
      <c r="I83" s="1"/>
      <c r="J83" s="1"/>
      <c r="R83" s="6"/>
      <c r="S83" s="6"/>
      <c r="T83" s="6"/>
      <c r="U83" s="6"/>
      <c r="V83" s="6"/>
      <c r="W83" s="6"/>
      <c r="X83" s="6"/>
      <c r="Y83" s="6"/>
    </row>
    <row r="84" spans="1:25" s="4" customFormat="1" x14ac:dyDescent="0.25">
      <c r="A84" s="69"/>
      <c r="B84" s="1"/>
      <c r="C84" s="3"/>
      <c r="D84" s="3"/>
      <c r="E84" s="1"/>
      <c r="F84" s="1"/>
      <c r="G84" s="1"/>
      <c r="H84" s="1"/>
      <c r="I84" s="1"/>
      <c r="J84" s="1"/>
      <c r="R84" s="6"/>
      <c r="S84" s="6"/>
      <c r="T84" s="6"/>
      <c r="U84" s="6"/>
      <c r="V84" s="6"/>
      <c r="W84" s="6"/>
      <c r="X84" s="6"/>
      <c r="Y84" s="6"/>
    </row>
    <row r="85" spans="1:25" s="4" customFormat="1" x14ac:dyDescent="0.25">
      <c r="A85" s="69"/>
      <c r="B85" s="1"/>
      <c r="C85" s="3"/>
      <c r="D85" s="3"/>
      <c r="E85" s="1"/>
      <c r="F85" s="1"/>
      <c r="G85" s="1"/>
      <c r="H85" s="1"/>
      <c r="I85" s="1"/>
      <c r="J85" s="1"/>
      <c r="R85" s="6"/>
      <c r="S85" s="6"/>
      <c r="T85" s="6"/>
      <c r="U85" s="6"/>
      <c r="V85" s="6"/>
      <c r="W85" s="6"/>
      <c r="X85" s="6"/>
      <c r="Y85" s="6"/>
    </row>
    <row r="86" spans="1:25" s="4" customFormat="1" x14ac:dyDescent="0.25">
      <c r="A86" s="69"/>
      <c r="B86" s="1"/>
      <c r="C86" s="3"/>
      <c r="D86" s="3"/>
      <c r="E86" s="1"/>
      <c r="F86" s="1"/>
      <c r="G86" s="1"/>
      <c r="H86" s="1"/>
      <c r="I86" s="1"/>
      <c r="J86" s="1"/>
      <c r="R86" s="6"/>
      <c r="S86" s="6"/>
      <c r="T86" s="6"/>
      <c r="U86" s="6"/>
      <c r="V86" s="6"/>
      <c r="W86" s="6"/>
      <c r="X86" s="6"/>
      <c r="Y86" s="6"/>
    </row>
    <row r="87" spans="1:25" s="4" customFormat="1" x14ac:dyDescent="0.25">
      <c r="A87" s="69"/>
      <c r="B87" s="1"/>
      <c r="C87" s="3"/>
      <c r="D87" s="3"/>
      <c r="E87" s="1"/>
      <c r="F87" s="1"/>
      <c r="G87" s="1"/>
      <c r="H87" s="1"/>
      <c r="I87" s="1"/>
      <c r="J87" s="1"/>
      <c r="R87" s="6"/>
      <c r="S87" s="6"/>
      <c r="T87" s="6"/>
      <c r="U87" s="6"/>
      <c r="V87" s="6"/>
      <c r="W87" s="6"/>
      <c r="X87" s="6"/>
      <c r="Y87" s="6"/>
    </row>
    <row r="88" spans="1:25" s="4" customFormat="1" x14ac:dyDescent="0.25">
      <c r="A88" s="69"/>
      <c r="B88" s="1"/>
      <c r="C88" s="3"/>
      <c r="D88" s="3"/>
      <c r="E88" s="1"/>
      <c r="F88" s="1"/>
      <c r="G88" s="1"/>
      <c r="H88" s="1"/>
      <c r="I88" s="1"/>
      <c r="J88" s="1"/>
      <c r="R88" s="6"/>
      <c r="S88" s="6"/>
      <c r="T88" s="6"/>
      <c r="U88" s="6"/>
      <c r="V88" s="6"/>
      <c r="W88" s="6"/>
      <c r="X88" s="6"/>
      <c r="Y88" s="6"/>
    </row>
    <row r="89" spans="1:25" s="4" customFormat="1" x14ac:dyDescent="0.25">
      <c r="A89" s="69"/>
      <c r="B89" s="1"/>
      <c r="C89" s="3"/>
      <c r="D89" s="3"/>
      <c r="E89" s="1"/>
      <c r="F89" s="1"/>
      <c r="G89" s="1"/>
      <c r="H89" s="1"/>
      <c r="I89" s="1"/>
      <c r="J89" s="1"/>
      <c r="R89" s="6"/>
      <c r="S89" s="6"/>
      <c r="T89" s="6"/>
      <c r="U89" s="6"/>
      <c r="V89" s="6"/>
      <c r="W89" s="6"/>
      <c r="X89" s="6"/>
      <c r="Y89" s="6"/>
    </row>
    <row r="90" spans="1:25" s="4" customFormat="1" x14ac:dyDescent="0.25">
      <c r="A90" s="69"/>
      <c r="B90" s="1"/>
      <c r="C90" s="3"/>
      <c r="D90" s="3"/>
      <c r="E90" s="1"/>
      <c r="F90" s="1"/>
      <c r="G90" s="1"/>
      <c r="H90" s="1"/>
      <c r="I90" s="1"/>
      <c r="J90" s="1"/>
      <c r="R90" s="6"/>
      <c r="S90" s="6"/>
      <c r="T90" s="6"/>
      <c r="U90" s="6"/>
      <c r="V90" s="6"/>
      <c r="W90" s="6"/>
      <c r="X90" s="6"/>
      <c r="Y90" s="6"/>
    </row>
    <row r="91" spans="1:25" s="4" customFormat="1" x14ac:dyDescent="0.25">
      <c r="A91" s="69"/>
      <c r="B91" s="1"/>
      <c r="C91" s="3"/>
      <c r="D91" s="3"/>
      <c r="E91" s="1"/>
      <c r="F91" s="1"/>
      <c r="G91" s="1"/>
      <c r="H91" s="1"/>
      <c r="I91" s="1"/>
      <c r="J91" s="1"/>
      <c r="R91" s="6"/>
      <c r="S91" s="6"/>
      <c r="T91" s="6"/>
      <c r="U91" s="6"/>
      <c r="V91" s="6"/>
      <c r="W91" s="6"/>
      <c r="X91" s="6"/>
      <c r="Y91" s="6"/>
    </row>
    <row r="92" spans="1:25" s="4" customFormat="1" x14ac:dyDescent="0.25">
      <c r="A92" s="69"/>
      <c r="B92" s="1"/>
      <c r="C92" s="3"/>
      <c r="D92" s="3"/>
      <c r="E92" s="1"/>
      <c r="F92" s="1"/>
      <c r="G92" s="1"/>
      <c r="H92" s="1"/>
      <c r="I92" s="1"/>
      <c r="J92" s="1"/>
      <c r="R92" s="6"/>
      <c r="S92" s="6"/>
      <c r="T92" s="6"/>
      <c r="U92" s="6"/>
      <c r="V92" s="6"/>
      <c r="W92" s="6"/>
      <c r="X92" s="6"/>
      <c r="Y92" s="6"/>
    </row>
    <row r="93" spans="1:25" s="4" customFormat="1" x14ac:dyDescent="0.25">
      <c r="A93" s="69"/>
      <c r="B93" s="1"/>
      <c r="C93" s="3"/>
      <c r="D93" s="3"/>
      <c r="E93" s="1"/>
      <c r="F93" s="1"/>
      <c r="G93" s="1"/>
      <c r="H93" s="1"/>
      <c r="I93" s="1"/>
      <c r="J93" s="1"/>
      <c r="R93" s="6"/>
      <c r="S93" s="6"/>
      <c r="T93" s="6"/>
      <c r="U93" s="6"/>
      <c r="V93" s="6"/>
      <c r="W93" s="6"/>
      <c r="X93" s="6"/>
      <c r="Y93" s="6"/>
    </row>
    <row r="94" spans="1:25" s="4" customFormat="1" x14ac:dyDescent="0.25">
      <c r="A94" s="69"/>
      <c r="B94" s="1"/>
      <c r="C94" s="3"/>
      <c r="D94" s="3"/>
      <c r="E94" s="1"/>
      <c r="F94" s="1"/>
      <c r="G94" s="1"/>
      <c r="H94" s="1"/>
      <c r="I94" s="1"/>
      <c r="J94" s="1"/>
      <c r="R94" s="6"/>
      <c r="S94" s="6"/>
      <c r="T94" s="6"/>
      <c r="U94" s="6"/>
      <c r="V94" s="6"/>
      <c r="W94" s="6"/>
      <c r="X94" s="6"/>
      <c r="Y94" s="6"/>
    </row>
    <row r="95" spans="1:25" s="4" customFormat="1" x14ac:dyDescent="0.25">
      <c r="A95" s="69"/>
      <c r="B95" s="1"/>
      <c r="C95" s="3"/>
      <c r="D95" s="3"/>
      <c r="E95" s="1"/>
      <c r="F95" s="1"/>
      <c r="G95" s="1"/>
      <c r="H95" s="1"/>
      <c r="I95" s="1"/>
      <c r="J95" s="1"/>
      <c r="R95" s="6"/>
      <c r="S95" s="6"/>
      <c r="T95" s="6"/>
      <c r="U95" s="6"/>
      <c r="V95" s="6"/>
      <c r="W95" s="6"/>
      <c r="X95" s="6"/>
      <c r="Y95" s="6"/>
    </row>
    <row r="96" spans="1:25" s="4" customFormat="1" x14ac:dyDescent="0.25">
      <c r="A96" s="69"/>
      <c r="B96" s="1"/>
      <c r="C96" s="3"/>
      <c r="D96" s="3"/>
      <c r="E96" s="1"/>
      <c r="F96" s="1"/>
      <c r="G96" s="1"/>
      <c r="H96" s="1"/>
      <c r="I96" s="1"/>
      <c r="J96" s="1"/>
      <c r="R96" s="6"/>
      <c r="S96" s="6"/>
      <c r="T96" s="6"/>
      <c r="U96" s="6"/>
      <c r="V96" s="6"/>
      <c r="W96" s="6"/>
      <c r="X96" s="6"/>
      <c r="Y96" s="6"/>
    </row>
    <row r="97" spans="1:25" s="4" customFormat="1" x14ac:dyDescent="0.25">
      <c r="A97" s="69"/>
      <c r="B97" s="1"/>
      <c r="C97" s="3"/>
      <c r="D97" s="3"/>
      <c r="E97" s="1"/>
      <c r="F97" s="1"/>
      <c r="G97" s="1"/>
      <c r="H97" s="1"/>
      <c r="I97" s="1"/>
      <c r="J97" s="1"/>
      <c r="R97" s="6"/>
      <c r="S97" s="6"/>
      <c r="T97" s="6"/>
      <c r="U97" s="6"/>
      <c r="V97" s="6"/>
      <c r="W97" s="6"/>
      <c r="X97" s="6"/>
      <c r="Y97" s="6"/>
    </row>
    <row r="98" spans="1:25" s="4" customFormat="1" x14ac:dyDescent="0.25">
      <c r="A98" s="69"/>
      <c r="B98" s="1"/>
      <c r="C98" s="3"/>
      <c r="D98" s="3"/>
      <c r="E98" s="1"/>
      <c r="F98" s="1"/>
      <c r="G98" s="1"/>
      <c r="H98" s="1"/>
      <c r="I98" s="1"/>
      <c r="J98" s="1"/>
      <c r="R98" s="6"/>
      <c r="S98" s="6"/>
      <c r="T98" s="6"/>
      <c r="U98" s="6"/>
      <c r="V98" s="6"/>
      <c r="W98" s="6"/>
      <c r="X98" s="6"/>
      <c r="Y98" s="6"/>
    </row>
    <row r="99" spans="1:25" s="4" customFormat="1" x14ac:dyDescent="0.25">
      <c r="A99" s="69"/>
      <c r="B99" s="1"/>
      <c r="C99" s="3"/>
      <c r="D99" s="3"/>
      <c r="E99" s="1"/>
      <c r="F99" s="1"/>
      <c r="G99" s="1"/>
      <c r="H99" s="1"/>
      <c r="I99" s="1"/>
      <c r="J99" s="1"/>
      <c r="R99" s="6"/>
      <c r="S99" s="6"/>
      <c r="T99" s="6"/>
      <c r="U99" s="6"/>
      <c r="V99" s="6"/>
      <c r="W99" s="6"/>
      <c r="X99" s="6"/>
      <c r="Y99" s="6"/>
    </row>
    <row r="100" spans="1:25" s="4" customFormat="1" x14ac:dyDescent="0.25">
      <c r="A100" s="69"/>
      <c r="B100" s="1"/>
      <c r="C100" s="3"/>
      <c r="D100" s="3"/>
      <c r="E100" s="1"/>
      <c r="F100" s="1"/>
      <c r="G100" s="1"/>
      <c r="H100" s="1"/>
      <c r="I100" s="1"/>
      <c r="J100" s="1"/>
      <c r="R100" s="6"/>
      <c r="S100" s="6"/>
      <c r="T100" s="6"/>
      <c r="U100" s="6"/>
      <c r="V100" s="6"/>
      <c r="W100" s="6"/>
      <c r="X100" s="6"/>
      <c r="Y100" s="6"/>
    </row>
    <row r="101" spans="1:25" s="4" customFormat="1" x14ac:dyDescent="0.25">
      <c r="A101" s="69"/>
      <c r="B101" s="1"/>
      <c r="C101" s="3"/>
      <c r="D101" s="3"/>
      <c r="E101" s="1"/>
      <c r="F101" s="1"/>
      <c r="G101" s="1"/>
      <c r="H101" s="1"/>
      <c r="I101" s="1"/>
      <c r="J101" s="1"/>
      <c r="R101" s="6"/>
      <c r="S101" s="6"/>
      <c r="T101" s="6"/>
      <c r="U101" s="6"/>
      <c r="V101" s="6"/>
      <c r="W101" s="6"/>
      <c r="X101" s="6"/>
      <c r="Y101" s="6"/>
    </row>
    <row r="102" spans="1:25" s="4" customFormat="1" x14ac:dyDescent="0.25">
      <c r="A102" s="69"/>
      <c r="B102" s="1"/>
      <c r="C102" s="3"/>
      <c r="D102" s="3"/>
      <c r="E102" s="1"/>
      <c r="F102" s="1"/>
      <c r="G102" s="1"/>
      <c r="H102" s="1"/>
      <c r="I102" s="1"/>
      <c r="J102" s="1"/>
      <c r="R102" s="6"/>
      <c r="S102" s="6"/>
      <c r="T102" s="6"/>
      <c r="U102" s="6"/>
      <c r="V102" s="6"/>
      <c r="W102" s="6"/>
      <c r="X102" s="6"/>
      <c r="Y102" s="6"/>
    </row>
    <row r="103" spans="1:25" s="4" customFormat="1" x14ac:dyDescent="0.25">
      <c r="A103" s="69"/>
      <c r="B103" s="1"/>
      <c r="C103" s="3"/>
      <c r="D103" s="3"/>
      <c r="E103" s="1"/>
      <c r="F103" s="1"/>
      <c r="G103" s="1"/>
      <c r="H103" s="1"/>
      <c r="I103" s="1"/>
      <c r="J103" s="1"/>
      <c r="R103" s="6"/>
      <c r="S103" s="6"/>
      <c r="T103" s="6"/>
      <c r="U103" s="6"/>
      <c r="V103" s="6"/>
      <c r="W103" s="6"/>
      <c r="X103" s="6"/>
      <c r="Y103" s="6"/>
    </row>
    <row r="104" spans="1:25" s="4" customFormat="1" x14ac:dyDescent="0.25">
      <c r="A104" s="69"/>
      <c r="B104" s="1"/>
      <c r="C104" s="3"/>
      <c r="D104" s="3"/>
      <c r="E104" s="1"/>
      <c r="F104" s="1"/>
      <c r="G104" s="1"/>
      <c r="H104" s="1"/>
      <c r="I104" s="1"/>
      <c r="J104" s="1"/>
      <c r="R104" s="6"/>
      <c r="S104" s="6"/>
      <c r="T104" s="6"/>
      <c r="U104" s="6"/>
      <c r="V104" s="6"/>
      <c r="W104" s="6"/>
      <c r="X104" s="6"/>
      <c r="Y104" s="6"/>
    </row>
    <row r="105" spans="1:25" s="4" customFormat="1" x14ac:dyDescent="0.25">
      <c r="A105" s="69"/>
      <c r="B105" s="1"/>
      <c r="C105" s="3"/>
      <c r="D105" s="3"/>
      <c r="E105" s="1"/>
      <c r="F105" s="1"/>
      <c r="G105" s="1"/>
      <c r="H105" s="1"/>
      <c r="I105" s="1"/>
      <c r="J105" s="1"/>
      <c r="R105" s="6"/>
      <c r="S105" s="6"/>
      <c r="T105" s="6"/>
      <c r="U105" s="6"/>
      <c r="V105" s="6"/>
      <c r="W105" s="6"/>
      <c r="X105" s="6"/>
      <c r="Y105" s="6"/>
    </row>
    <row r="106" spans="1:25" s="4" customFormat="1" x14ac:dyDescent="0.25">
      <c r="A106" s="69"/>
      <c r="B106" s="1"/>
      <c r="C106" s="3"/>
      <c r="D106" s="3"/>
      <c r="E106" s="1"/>
      <c r="F106" s="1"/>
      <c r="G106" s="1"/>
      <c r="H106" s="1"/>
      <c r="I106" s="1"/>
      <c r="J106" s="1"/>
      <c r="R106" s="6"/>
      <c r="S106" s="6"/>
      <c r="T106" s="6"/>
      <c r="U106" s="6"/>
      <c r="V106" s="6"/>
      <c r="W106" s="6"/>
      <c r="X106" s="6"/>
      <c r="Y106" s="6"/>
    </row>
    <row r="107" spans="1:25" s="4" customFormat="1" x14ac:dyDescent="0.25">
      <c r="A107" s="69"/>
      <c r="B107" s="1"/>
      <c r="C107" s="3"/>
      <c r="D107" s="3"/>
      <c r="E107" s="1"/>
      <c r="F107" s="1"/>
      <c r="G107" s="1"/>
      <c r="H107" s="1"/>
      <c r="I107" s="1"/>
      <c r="J107" s="1"/>
      <c r="R107" s="6"/>
      <c r="S107" s="6"/>
      <c r="T107" s="6"/>
      <c r="U107" s="6"/>
      <c r="V107" s="6"/>
      <c r="W107" s="6"/>
      <c r="X107" s="6"/>
      <c r="Y107" s="6"/>
    </row>
    <row r="108" spans="1:25" s="4" customFormat="1" x14ac:dyDescent="0.25">
      <c r="A108" s="69"/>
      <c r="B108" s="1"/>
      <c r="C108" s="3"/>
      <c r="D108" s="3"/>
      <c r="E108" s="1"/>
      <c r="F108" s="1"/>
      <c r="G108" s="1"/>
      <c r="H108" s="1"/>
      <c r="I108" s="1"/>
      <c r="J108" s="1"/>
      <c r="R108" s="6"/>
      <c r="S108" s="6"/>
      <c r="T108" s="6"/>
      <c r="U108" s="6"/>
      <c r="V108" s="6"/>
      <c r="W108" s="6"/>
      <c r="X108" s="6"/>
      <c r="Y108" s="6"/>
    </row>
    <row r="109" spans="1:25" s="4" customFormat="1" x14ac:dyDescent="0.25">
      <c r="A109" s="69"/>
      <c r="B109" s="1"/>
      <c r="C109" s="3"/>
      <c r="D109" s="3"/>
      <c r="E109" s="1"/>
      <c r="F109" s="1"/>
      <c r="G109" s="1"/>
      <c r="H109" s="1"/>
      <c r="I109" s="1"/>
      <c r="J109" s="1"/>
      <c r="R109" s="6"/>
      <c r="S109" s="6"/>
      <c r="T109" s="6"/>
      <c r="U109" s="6"/>
      <c r="V109" s="6"/>
      <c r="W109" s="6"/>
      <c r="X109" s="6"/>
      <c r="Y109" s="6"/>
    </row>
    <row r="110" spans="1:25" s="4" customFormat="1" x14ac:dyDescent="0.25">
      <c r="A110" s="69"/>
      <c r="B110" s="1"/>
      <c r="C110" s="3"/>
      <c r="D110" s="3"/>
      <c r="E110" s="1"/>
      <c r="F110" s="1"/>
      <c r="G110" s="1"/>
      <c r="H110" s="1"/>
      <c r="I110" s="1"/>
      <c r="J110" s="1"/>
      <c r="R110" s="6"/>
      <c r="S110" s="6"/>
      <c r="T110" s="6"/>
      <c r="U110" s="6"/>
      <c r="V110" s="6"/>
      <c r="W110" s="6"/>
      <c r="X110" s="6"/>
      <c r="Y110" s="6"/>
    </row>
    <row r="111" spans="1:25" s="4" customFormat="1" x14ac:dyDescent="0.25">
      <c r="A111" s="69"/>
      <c r="B111" s="1"/>
      <c r="C111" s="3"/>
      <c r="D111" s="3"/>
      <c r="E111" s="1"/>
      <c r="F111" s="1"/>
      <c r="G111" s="1"/>
      <c r="H111" s="1"/>
      <c r="I111" s="1"/>
      <c r="J111" s="1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K112" s="4"/>
      <c r="L112" s="4"/>
      <c r="M112" s="4"/>
      <c r="N112" s="4"/>
    </row>
    <row r="113" spans="11:13" x14ac:dyDescent="0.25">
      <c r="K113" s="4"/>
      <c r="L113" s="4"/>
      <c r="M113" s="4"/>
    </row>
    <row r="114" spans="11:13" x14ac:dyDescent="0.25">
      <c r="K114" s="4"/>
      <c r="L114" s="4"/>
    </row>
  </sheetData>
  <mergeCells count="16">
    <mergeCell ref="E29:F34"/>
    <mergeCell ref="M32:N36"/>
    <mergeCell ref="C36:D36"/>
    <mergeCell ref="E21:F21"/>
    <mergeCell ref="D22:F23"/>
    <mergeCell ref="G22:H22"/>
    <mergeCell ref="G23:I24"/>
    <mergeCell ref="G25:G26"/>
    <mergeCell ref="H25:H26"/>
    <mergeCell ref="I25:I26"/>
    <mergeCell ref="D20:E20"/>
    <mergeCell ref="I1:L1"/>
    <mergeCell ref="C8:D8"/>
    <mergeCell ref="F9:F10"/>
    <mergeCell ref="I9:I10"/>
    <mergeCell ref="D11:E12"/>
  </mergeCells>
  <conditionalFormatting sqref="C3:C6">
    <cfRule type="expression" dxfId="214" priority="39">
      <formula>IF($A$2=0,1,0)</formula>
    </cfRule>
  </conditionalFormatting>
  <conditionalFormatting sqref="C9:C13">
    <cfRule type="expression" dxfId="213" priority="21">
      <formula>IF($A$7=0,1,0)</formula>
    </cfRule>
  </conditionalFormatting>
  <conditionalFormatting sqref="C11">
    <cfRule type="expression" dxfId="212" priority="11">
      <formula>IF(AND(ISNUMBER(C11),OR(C11&lt;J17,C11&gt;J18)),1,0)</formula>
    </cfRule>
    <cfRule type="expression" dxfId="211" priority="12">
      <formula>IF(AND(ISNUMBER($C11),OR(C11&lt;J19,C11&gt;J20)),1,0)</formula>
    </cfRule>
  </conditionalFormatting>
  <conditionalFormatting sqref="C11:C13">
    <cfRule type="expression" dxfId="210" priority="34">
      <formula>IF(ISBLANK(C11),0,IF(A11&gt;0,1,0))</formula>
    </cfRule>
  </conditionalFormatting>
  <conditionalFormatting sqref="C17:C23">
    <cfRule type="expression" dxfId="209" priority="22">
      <formula>IF($A$14=0,1,0)</formula>
    </cfRule>
  </conditionalFormatting>
  <conditionalFormatting sqref="C20">
    <cfRule type="expression" dxfId="208" priority="33">
      <formula>IF(ISBLANK(C20),0,IF(A20&gt;0,1,0))</formula>
    </cfRule>
  </conditionalFormatting>
  <conditionalFormatting sqref="C27">
    <cfRule type="expression" dxfId="207" priority="15">
      <formula>IF($C$27&lt;MAX(D27:E27),1,0)</formula>
    </cfRule>
  </conditionalFormatting>
  <conditionalFormatting sqref="C31">
    <cfRule type="expression" dxfId="206" priority="29">
      <formula>IF(ISBLANK(C31),0,IF(A31&gt;0,1,0))</formula>
    </cfRule>
  </conditionalFormatting>
  <conditionalFormatting sqref="C34">
    <cfRule type="expression" dxfId="205" priority="28">
      <formula>IF(ISBLANK(C34),0,IF(A34&gt;0,1,0))</formula>
    </cfRule>
  </conditionalFormatting>
  <conditionalFormatting sqref="C8:D8">
    <cfRule type="expression" dxfId="204" priority="38">
      <formula>IF($A$7=0,1,0)</formula>
    </cfRule>
  </conditionalFormatting>
  <conditionalFormatting sqref="C15:D15">
    <cfRule type="expression" dxfId="203" priority="36">
      <formula>IF(OR(ISBLANK($C15),ISBLANK($D15)),0,IF(OR(C15&lt;2,C15&gt;30),1,0))</formula>
    </cfRule>
  </conditionalFormatting>
  <conditionalFormatting sqref="C15:D16">
    <cfRule type="expression" dxfId="202" priority="8">
      <formula>IF($A$14=0,1,0)</formula>
    </cfRule>
  </conditionalFormatting>
  <conditionalFormatting sqref="C16:D16">
    <cfRule type="expression" dxfId="201" priority="9">
      <formula>IF(OR(ISBLANK($C16),ISBLANK($D16)),0,IF(OR(C16&lt;15,C16&gt;100),1,0))</formula>
    </cfRule>
  </conditionalFormatting>
  <conditionalFormatting sqref="C36:D36">
    <cfRule type="expression" dxfId="200" priority="27">
      <formula>IF(A36=0,1,0)</formula>
    </cfRule>
  </conditionalFormatting>
  <conditionalFormatting sqref="C26:E27">
    <cfRule type="cellIs" dxfId="199" priority="6" operator="greaterThan">
      <formula>100</formula>
    </cfRule>
    <cfRule type="expression" dxfId="198" priority="7">
      <formula>IF($A$24=0,1,0)</formula>
    </cfRule>
  </conditionalFormatting>
  <conditionalFormatting sqref="D11">
    <cfRule type="expression" dxfId="197" priority="10">
      <formula>IF(AND(ISNUMBER(C11),OR(C11&lt;J17,C11&gt;J18)),1,0)</formula>
    </cfRule>
  </conditionalFormatting>
  <conditionalFormatting sqref="D18">
    <cfRule type="expression" dxfId="196" priority="19">
      <formula>IF($A14=0,1,0)</formula>
    </cfRule>
  </conditionalFormatting>
  <conditionalFormatting sqref="D26">
    <cfRule type="expression" dxfId="195" priority="3">
      <formula>IF(AND(ISNUMBER(D26),F26=0,C26-D26&gt;10),1,0)</formula>
    </cfRule>
    <cfRule type="expression" dxfId="194" priority="5">
      <formula>IF(D26&gt;C26,1,0)</formula>
    </cfRule>
  </conditionalFormatting>
  <conditionalFormatting sqref="D27 C28 E28">
    <cfRule type="cellIs" dxfId="193" priority="31" operator="greaterThan">
      <formula>400</formula>
    </cfRule>
  </conditionalFormatting>
  <conditionalFormatting sqref="D27">
    <cfRule type="expression" dxfId="192" priority="25">
      <formula>IF(D27&gt;C28,1,0)</formula>
    </cfRule>
  </conditionalFormatting>
  <conditionalFormatting sqref="D19:E19">
    <cfRule type="expression" dxfId="191" priority="35">
      <formula>IF($A$14=0,1,0)</formula>
    </cfRule>
  </conditionalFormatting>
  <conditionalFormatting sqref="E18">
    <cfRule type="expression" dxfId="190" priority="17" stopIfTrue="1">
      <formula>IF(E18&lt;MAX(C18:D18),1,0)</formula>
    </cfRule>
    <cfRule type="expression" dxfId="189" priority="18">
      <formula>IF(A14=0,1,0)</formula>
    </cfRule>
  </conditionalFormatting>
  <conditionalFormatting sqref="E26">
    <cfRule type="expression" dxfId="188" priority="2">
      <formula>IF(AND(ISNUMBER(E26),F26=0,E26-C26&gt;10),1,0)</formula>
    </cfRule>
    <cfRule type="expression" dxfId="187" priority="4">
      <formula>IF(AND(ISNUMBER(E26),OR(E26&lt;D26,E26&lt;C26)),1,0)</formula>
    </cfRule>
  </conditionalFormatting>
  <conditionalFormatting sqref="E28 C28:C34">
    <cfRule type="expression" dxfId="186" priority="40">
      <formula>IF($A$24=0,1,0)</formula>
    </cfRule>
  </conditionalFormatting>
  <conditionalFormatting sqref="E28">
    <cfRule type="expression" dxfId="185" priority="43">
      <formula>IF(AND(ISNUMBER(E28),OR(E28&lt;C28,E28&lt;D27)),1,0)</formula>
    </cfRule>
  </conditionalFormatting>
  <conditionalFormatting sqref="E21:F21">
    <cfRule type="containsBlanks" dxfId="184" priority="1">
      <formula>LEN(TRIM(E21))=0</formula>
    </cfRule>
  </conditionalFormatting>
  <conditionalFormatting sqref="E29:F34">
    <cfRule type="containsErrors" dxfId="183" priority="23">
      <formula>ISERROR(E29)</formula>
    </cfRule>
    <cfRule type="expression" dxfId="182" priority="26">
      <formula>IF(E29=" ",0,1)</formula>
    </cfRule>
  </conditionalFormatting>
  <conditionalFormatting sqref="F7:F8 C9 F11">
    <cfRule type="containsErrors" dxfId="181" priority="37">
      <formula>ISERROR(C7)</formula>
    </cfRule>
  </conditionalFormatting>
  <conditionalFormatting sqref="J17:J20">
    <cfRule type="containsErrors" dxfId="180" priority="13">
      <formula>ISERROR(J17)</formula>
    </cfRule>
  </conditionalFormatting>
  <dataValidations count="7">
    <dataValidation type="list" allowBlank="1" showInputMessage="1" showErrorMessage="1" sqref="C10">
      <formula1>$I$11:$I$15</formula1>
    </dataValidation>
    <dataValidation type="list" allowBlank="1" showInputMessage="1" showErrorMessage="1" sqref="C33">
      <formula1>$I$5:$I$7</formula1>
    </dataValidation>
    <dataValidation type="list" allowBlank="1" showInputMessage="1" showErrorMessage="1" sqref="C30">
      <formula1>$H$18:$H$20</formula1>
    </dataValidation>
    <dataValidation type="list" allowBlank="1" showInputMessage="1" showErrorMessage="1" sqref="C23">
      <formula1>$H$13:$H$15</formula1>
    </dataValidation>
    <dataValidation type="list" allowBlank="1" showInputMessage="1" showErrorMessage="1" sqref="C21:C22">
      <formula1>$H$5:$H$11</formula1>
    </dataValidation>
    <dataValidation type="list" allowBlank="1" showInputMessage="1" showErrorMessage="1" sqref="C19:E19">
      <formula1>$G$5:$G$20</formula1>
    </dataValidation>
    <dataValidation type="list" allowBlank="1" showInputMessage="1" showErrorMessage="1" sqref="C8">
      <formula1>$G$27:$G$36</formula1>
    </dataValidation>
  </dataValidations>
  <pageMargins left="0.55118110236220474" right="0.19685039370078741" top="0.61" bottom="0.15748031496062992" header="0.19685039370078741" footer="0.11811023622047245"/>
  <pageSetup paperSize="9" orientation="landscape" verticalDpi="1200" r:id="rId1"/>
  <headerFooter alignWithMargins="0">
    <oddHeader>&amp;L&amp;F Flik 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CD114"/>
  <sheetViews>
    <sheetView topLeftCell="B1" zoomScale="130" zoomScaleNormal="130" workbookViewId="0">
      <selection activeCell="B1" sqref="B1"/>
    </sheetView>
  </sheetViews>
  <sheetFormatPr defaultColWidth="9.140625" defaultRowHeight="16.5" x14ac:dyDescent="0.25"/>
  <cols>
    <col min="1" max="1" width="9.140625" style="69" hidden="1" customWidth="1"/>
    <col min="2" max="2" width="26.42578125" style="1" customWidth="1"/>
    <col min="3" max="3" width="10.28515625" style="3" customWidth="1"/>
    <col min="4" max="4" width="9.5703125" style="3" customWidth="1"/>
    <col min="5" max="5" width="9.5703125" style="1" customWidth="1"/>
    <col min="6" max="6" width="9.42578125" style="1" customWidth="1"/>
    <col min="7" max="9" width="9.5703125" style="1" customWidth="1"/>
    <col min="10" max="10" width="8.85546875" style="1" customWidth="1"/>
    <col min="11" max="11" width="3.7109375" style="1" customWidth="1"/>
    <col min="12" max="12" width="13.42578125" style="1" customWidth="1"/>
    <col min="13" max="13" width="3.28515625" style="1" customWidth="1"/>
    <col min="14" max="14" width="13" style="1" customWidth="1"/>
    <col min="15" max="15" width="9.140625" style="1" customWidth="1"/>
    <col min="16" max="17" width="9.140625" style="1" hidden="1" customWidth="1"/>
    <col min="18" max="25" width="9.140625" style="3"/>
    <col min="26" max="16384" width="9.140625" style="1"/>
  </cols>
  <sheetData>
    <row r="1" spans="1:25" x14ac:dyDescent="0.25">
      <c r="A1" s="62">
        <f>IF(AND(A2&gt;0,A2&lt;3),1,0)+IF(AND(A7&gt;0,A7&lt;5),10,0)+IF(AND(A14&gt;0,A14&lt;5),100,0)+IF(AND(A24&gt;0,A24&lt;8),1000,0)</f>
        <v>0</v>
      </c>
      <c r="B1" s="63" t="s">
        <v>192</v>
      </c>
      <c r="C1" s="64" t="str">
        <f ca="1">MID(CELL("filename",A1),FIND("]",CELL("filename",A1))+1,255)</f>
        <v>Spr2</v>
      </c>
      <c r="D1" s="65" t="s">
        <v>1</v>
      </c>
      <c r="E1" s="66"/>
      <c r="F1" s="67" t="s">
        <v>3</v>
      </c>
      <c r="G1" s="68"/>
      <c r="H1" s="68" t="s">
        <v>4</v>
      </c>
      <c r="I1" s="156"/>
      <c r="J1" s="157"/>
      <c r="K1" s="157"/>
      <c r="L1" s="158"/>
    </row>
    <row r="2" spans="1:25" ht="15" customHeight="1" x14ac:dyDescent="0.25">
      <c r="A2" s="69">
        <f>COUNTBLANK(C3:C6)</f>
        <v>0</v>
      </c>
      <c r="B2" s="58" t="s">
        <v>6</v>
      </c>
      <c r="C2" s="6"/>
      <c r="E2" s="6" t="s">
        <v>193</v>
      </c>
      <c r="P2" s="70">
        <v>1</v>
      </c>
      <c r="Q2" s="70" t="s">
        <v>7</v>
      </c>
    </row>
    <row r="3" spans="1:25" ht="15" customHeight="1" x14ac:dyDescent="0.25">
      <c r="A3" s="71">
        <f>SUM(A2,A7,A14,A24,A36)</f>
        <v>0</v>
      </c>
      <c r="B3" s="72" t="s">
        <v>8</v>
      </c>
      <c r="C3" s="73">
        <v>44834</v>
      </c>
      <c r="G3" s="74" t="s">
        <v>9</v>
      </c>
      <c r="H3" s="75"/>
      <c r="I3" s="76"/>
      <c r="L3" s="1" t="str">
        <f ca="1">"Ogräs graderas i flik Og"&amp;RIGHT(C1,1)&amp;"."</f>
        <v>Ogräs graderas i flik Og2.</v>
      </c>
      <c r="P3" s="70">
        <v>10</v>
      </c>
      <c r="Q3" s="70" t="s">
        <v>10</v>
      </c>
    </row>
    <row r="4" spans="1:25" ht="15" customHeight="1" x14ac:dyDescent="0.25">
      <c r="B4" s="72" t="s">
        <v>11</v>
      </c>
      <c r="C4" s="77">
        <v>0.41666666666666669</v>
      </c>
      <c r="G4" s="78" t="s">
        <v>12</v>
      </c>
      <c r="H4" s="79" t="s">
        <v>13</v>
      </c>
      <c r="I4" s="80" t="s">
        <v>14</v>
      </c>
      <c r="K4" s="81"/>
      <c r="L4" s="82"/>
      <c r="M4" s="83"/>
      <c r="N4" s="84"/>
      <c r="P4" s="70">
        <v>11</v>
      </c>
      <c r="Q4" s="70" t="s">
        <v>15</v>
      </c>
    </row>
    <row r="5" spans="1:25" ht="15" customHeight="1" x14ac:dyDescent="0.25">
      <c r="B5" s="72" t="s">
        <v>16</v>
      </c>
      <c r="C5" s="77">
        <v>0.45833333333333331</v>
      </c>
      <c r="G5" s="85" t="s">
        <v>17</v>
      </c>
      <c r="H5" s="86" t="s">
        <v>18</v>
      </c>
      <c r="I5" s="87" t="s">
        <v>19</v>
      </c>
      <c r="K5" s="88" t="s">
        <v>20</v>
      </c>
      <c r="L5" s="59"/>
      <c r="N5" s="89"/>
      <c r="P5" s="70">
        <v>100</v>
      </c>
      <c r="Q5" s="70" t="s">
        <v>21</v>
      </c>
    </row>
    <row r="6" spans="1:25" s="69" customFormat="1" ht="15" customHeight="1" x14ac:dyDescent="0.25">
      <c r="B6" s="72" t="s">
        <v>22</v>
      </c>
      <c r="C6" s="90" t="s">
        <v>194</v>
      </c>
      <c r="D6" s="3"/>
      <c r="E6" s="91"/>
      <c r="G6" s="85" t="s">
        <v>24</v>
      </c>
      <c r="H6" s="86" t="s">
        <v>25</v>
      </c>
      <c r="I6" s="87" t="s">
        <v>26</v>
      </c>
      <c r="K6" s="92" t="s">
        <v>27</v>
      </c>
      <c r="L6" s="93"/>
      <c r="M6" s="55" t="s">
        <v>28</v>
      </c>
      <c r="N6" s="52"/>
      <c r="P6" s="70">
        <v>101</v>
      </c>
      <c r="Q6" s="70" t="s">
        <v>29</v>
      </c>
      <c r="R6" s="94"/>
      <c r="S6" s="94"/>
      <c r="T6" s="94"/>
      <c r="U6" s="94"/>
      <c r="V6" s="94"/>
      <c r="W6" s="94"/>
      <c r="X6" s="94"/>
      <c r="Y6" s="94"/>
    </row>
    <row r="7" spans="1:25" ht="15" customHeight="1" x14ac:dyDescent="0.25">
      <c r="A7" s="69">
        <f>COUNTBLANK(C11:C13)+COUNTBLANK(C8)+SUM(A10:A13)</f>
        <v>0</v>
      </c>
      <c r="B7" s="58" t="s">
        <v>30</v>
      </c>
      <c r="D7" s="69"/>
      <c r="F7" s="95">
        <f>VLOOKUP(C8,G27:I36,3,0)</f>
        <v>46</v>
      </c>
      <c r="G7" s="85" t="s">
        <v>31</v>
      </c>
      <c r="H7" s="86" t="s">
        <v>32</v>
      </c>
      <c r="I7" s="87" t="s">
        <v>33</v>
      </c>
      <c r="K7" s="96" t="s">
        <v>34</v>
      </c>
      <c r="L7" s="97" t="s">
        <v>35</v>
      </c>
      <c r="M7" s="41" t="s">
        <v>34</v>
      </c>
      <c r="N7" s="98" t="s">
        <v>35</v>
      </c>
      <c r="P7" s="70">
        <v>110</v>
      </c>
      <c r="Q7" s="70" t="s">
        <v>36</v>
      </c>
      <c r="S7" s="99"/>
    </row>
    <row r="8" spans="1:25" s="4" customFormat="1" ht="15" customHeight="1" x14ac:dyDescent="0.2">
      <c r="B8" s="72" t="s">
        <v>37</v>
      </c>
      <c r="C8" s="159" t="s">
        <v>38</v>
      </c>
      <c r="D8" s="159"/>
      <c r="F8" s="100">
        <f>VLOOKUP(C10,I11:J15,2,0)</f>
        <v>0.76616910623580237</v>
      </c>
      <c r="G8" s="85" t="s">
        <v>39</v>
      </c>
      <c r="H8" s="86" t="s">
        <v>40</v>
      </c>
      <c r="I8" s="16"/>
      <c r="J8" s="101" t="s">
        <v>41</v>
      </c>
      <c r="K8" s="96" t="s">
        <v>42</v>
      </c>
      <c r="L8" s="102" t="s">
        <v>43</v>
      </c>
      <c r="M8" s="41" t="s">
        <v>42</v>
      </c>
      <c r="N8" s="98" t="s">
        <v>43</v>
      </c>
      <c r="P8" s="70">
        <v>111</v>
      </c>
      <c r="Q8" s="70" t="s">
        <v>44</v>
      </c>
      <c r="R8" s="6"/>
      <c r="S8" s="99"/>
      <c r="T8" s="6"/>
      <c r="U8" s="6"/>
      <c r="V8" s="6"/>
      <c r="W8" s="6"/>
      <c r="X8" s="6"/>
      <c r="Y8" s="6"/>
    </row>
    <row r="9" spans="1:25" ht="15" customHeight="1" x14ac:dyDescent="0.25">
      <c r="B9" s="72" t="s">
        <v>45</v>
      </c>
      <c r="C9" s="103" t="str">
        <f>VLOOKUP(C8,G27:H36,2,0)</f>
        <v>HSE 3.12</v>
      </c>
      <c r="D9" s="5"/>
      <c r="F9" s="160" t="s">
        <v>46</v>
      </c>
      <c r="G9" s="85" t="s">
        <v>47</v>
      </c>
      <c r="H9" s="86" t="s">
        <v>48</v>
      </c>
      <c r="I9" s="161" t="s">
        <v>49</v>
      </c>
      <c r="J9" s="104">
        <v>0.1</v>
      </c>
      <c r="K9" s="96" t="s">
        <v>50</v>
      </c>
      <c r="L9" s="102" t="s">
        <v>51</v>
      </c>
      <c r="M9" s="41" t="s">
        <v>50</v>
      </c>
      <c r="N9" s="98" t="s">
        <v>51</v>
      </c>
      <c r="P9" s="70">
        <v>1000</v>
      </c>
      <c r="Q9" s="70" t="s">
        <v>52</v>
      </c>
      <c r="S9" s="99"/>
    </row>
    <row r="10" spans="1:25" ht="15" customHeight="1" x14ac:dyDescent="0.25">
      <c r="A10" s="69">
        <f>IF(ISBLANK(C10),1,0)</f>
        <v>0</v>
      </c>
      <c r="B10" s="72" t="s">
        <v>53</v>
      </c>
      <c r="C10" s="105" t="s">
        <v>54</v>
      </c>
      <c r="D10" s="106"/>
      <c r="F10" s="160"/>
      <c r="G10" s="85" t="s">
        <v>55</v>
      </c>
      <c r="H10" s="86" t="s">
        <v>56</v>
      </c>
      <c r="I10" s="162"/>
      <c r="J10" s="101" t="s">
        <v>57</v>
      </c>
      <c r="K10" s="96" t="s">
        <v>58</v>
      </c>
      <c r="L10" s="97" t="s">
        <v>59</v>
      </c>
      <c r="M10" s="41" t="s">
        <v>58</v>
      </c>
      <c r="N10" s="37" t="s">
        <v>60</v>
      </c>
      <c r="P10" s="70">
        <v>1001</v>
      </c>
      <c r="Q10" s="70" t="s">
        <v>61</v>
      </c>
      <c r="S10" s="99"/>
    </row>
    <row r="11" spans="1:25" ht="15" customHeight="1" x14ac:dyDescent="0.25">
      <c r="A11" s="69">
        <f>IF(AND(C11&gt;=75,C11&lt;1000),0,1)</f>
        <v>0</v>
      </c>
      <c r="B11" s="107" t="str">
        <f>"Vattenmängd, L/ha ("&amp;F12&amp;" enl PM)"</f>
        <v>Vattenmängd, L/ha (200 enl PM)</v>
      </c>
      <c r="C11" s="108">
        <v>200</v>
      </c>
      <c r="D11" s="163" t="s">
        <v>62</v>
      </c>
      <c r="E11" s="164"/>
      <c r="F11" s="109">
        <f>600*F8/(F7*C13/100)</f>
        <v>217.25021915949026</v>
      </c>
      <c r="G11" s="85" t="s">
        <v>63</v>
      </c>
      <c r="H11" s="110"/>
      <c r="I11" s="87" t="s">
        <v>64</v>
      </c>
      <c r="J11" s="111">
        <f>0.2314*C$12^0.4996</f>
        <v>0.38704682308053573</v>
      </c>
      <c r="K11" s="112">
        <v>10</v>
      </c>
      <c r="L11" s="97" t="s">
        <v>65</v>
      </c>
      <c r="M11" s="38">
        <v>10</v>
      </c>
      <c r="N11" s="37" t="s">
        <v>66</v>
      </c>
      <c r="P11" s="70">
        <v>1010</v>
      </c>
      <c r="Q11" s="70" t="s">
        <v>67</v>
      </c>
    </row>
    <row r="12" spans="1:25" ht="15" customHeight="1" x14ac:dyDescent="0.25">
      <c r="A12" s="69">
        <f>IF(AND(C12&gt;1,C12&lt;6),0,1)</f>
        <v>0</v>
      </c>
      <c r="B12" s="72" t="s">
        <v>68</v>
      </c>
      <c r="C12" s="113">
        <v>2.8</v>
      </c>
      <c r="D12" s="163"/>
      <c r="E12" s="164"/>
      <c r="F12" s="114">
        <f>[1]kf!N12</f>
        <v>200</v>
      </c>
      <c r="G12" s="85" t="s">
        <v>69</v>
      </c>
      <c r="H12" s="79" t="s">
        <v>70</v>
      </c>
      <c r="I12" s="87" t="s">
        <v>71</v>
      </c>
      <c r="J12" s="111">
        <f>0.3375*C$12^0.5094</f>
        <v>0.57023789957174587</v>
      </c>
      <c r="K12" s="112">
        <v>11</v>
      </c>
      <c r="L12" s="97" t="s">
        <v>72</v>
      </c>
      <c r="M12" s="38">
        <v>11</v>
      </c>
      <c r="N12" s="37" t="s">
        <v>73</v>
      </c>
      <c r="P12" s="70">
        <v>1011</v>
      </c>
      <c r="Q12" s="70" t="s">
        <v>74</v>
      </c>
    </row>
    <row r="13" spans="1:25" ht="15" customHeight="1" x14ac:dyDescent="0.25">
      <c r="A13" s="69">
        <f>IF(AND(C13&gt;1,C13&lt;8),0,1)</f>
        <v>0</v>
      </c>
      <c r="B13" s="72" t="s">
        <v>75</v>
      </c>
      <c r="C13" s="113">
        <v>4.5999999999999996</v>
      </c>
      <c r="D13" s="115"/>
      <c r="G13" s="85" t="s">
        <v>76</v>
      </c>
      <c r="H13" s="86" t="s">
        <v>77</v>
      </c>
      <c r="I13" s="87" t="s">
        <v>54</v>
      </c>
      <c r="J13" s="111">
        <f>0.46*C$12^0.4955</f>
        <v>0.76616910623580237</v>
      </c>
      <c r="K13" s="112">
        <v>12</v>
      </c>
      <c r="L13" s="97" t="s">
        <v>78</v>
      </c>
      <c r="M13" s="38">
        <v>12</v>
      </c>
      <c r="N13" s="37" t="s">
        <v>79</v>
      </c>
      <c r="P13" s="70">
        <v>1100</v>
      </c>
      <c r="Q13" s="70" t="s">
        <v>80</v>
      </c>
    </row>
    <row r="14" spans="1:25" ht="15" customHeight="1" x14ac:dyDescent="0.25">
      <c r="A14" s="116">
        <f>COUNTBLANK(C15:C23)+SUM(A15:A23)</f>
        <v>0</v>
      </c>
      <c r="B14" s="58" t="s">
        <v>81</v>
      </c>
      <c r="D14" s="6"/>
      <c r="G14" s="85" t="s">
        <v>82</v>
      </c>
      <c r="H14" s="86" t="s">
        <v>83</v>
      </c>
      <c r="I14" s="87" t="s">
        <v>84</v>
      </c>
      <c r="J14" s="111">
        <f>0.5799*C$12^0.4948</f>
        <v>0.96517686322946905</v>
      </c>
      <c r="K14" s="112">
        <v>20</v>
      </c>
      <c r="L14" s="97" t="s">
        <v>85</v>
      </c>
      <c r="M14" s="38"/>
      <c r="N14" s="37" t="s">
        <v>86</v>
      </c>
      <c r="P14" s="70">
        <v>1101</v>
      </c>
      <c r="Q14" s="70" t="s">
        <v>87</v>
      </c>
    </row>
    <row r="15" spans="1:25" s="4" customFormat="1" ht="15" customHeight="1" x14ac:dyDescent="0.2">
      <c r="A15" s="4">
        <f>IF(AND(C15&gt;=2,C15&lt;30,D15&gt;=2,D15&lt;30),0,1)</f>
        <v>0</v>
      </c>
      <c r="B15" s="72" t="s">
        <v>88</v>
      </c>
      <c r="C15" s="113">
        <v>12.5</v>
      </c>
      <c r="D15" s="113">
        <v>12</v>
      </c>
      <c r="G15" s="85" t="s">
        <v>89</v>
      </c>
      <c r="H15" s="86" t="s">
        <v>90</v>
      </c>
      <c r="I15" s="87" t="s">
        <v>91</v>
      </c>
      <c r="J15" s="111">
        <f>0.6946*C$12^0.4948</f>
        <v>1.1560818230715455</v>
      </c>
      <c r="K15" s="112">
        <v>21</v>
      </c>
      <c r="L15" s="97" t="s">
        <v>92</v>
      </c>
      <c r="M15" s="38">
        <v>30</v>
      </c>
      <c r="N15" s="37" t="s">
        <v>93</v>
      </c>
      <c r="P15" s="70">
        <v>1110</v>
      </c>
      <c r="Q15" s="70" t="s">
        <v>94</v>
      </c>
      <c r="R15" s="6"/>
      <c r="S15" s="6"/>
      <c r="T15" s="6"/>
      <c r="U15" s="6"/>
      <c r="V15" s="6"/>
      <c r="W15" s="6"/>
      <c r="X15" s="6"/>
      <c r="Y15" s="6"/>
    </row>
    <row r="16" spans="1:25" ht="15" customHeight="1" x14ac:dyDescent="0.25">
      <c r="A16" s="4">
        <f>IF(AND(C16&gt;15,C16&lt;=100,D16&gt;15,D16&lt;=100),0,1)</f>
        <v>0</v>
      </c>
      <c r="B16" s="72" t="s">
        <v>95</v>
      </c>
      <c r="C16" s="117">
        <v>67</v>
      </c>
      <c r="D16" s="117">
        <v>67</v>
      </c>
      <c r="G16" s="85" t="s">
        <v>96</v>
      </c>
      <c r="H16" s="118"/>
      <c r="I16" s="16"/>
      <c r="J16" s="110"/>
      <c r="K16" s="112">
        <v>22</v>
      </c>
      <c r="L16" s="97" t="s">
        <v>97</v>
      </c>
      <c r="M16" s="38">
        <v>31</v>
      </c>
      <c r="N16" s="37" t="s">
        <v>98</v>
      </c>
      <c r="P16" s="70">
        <v>1111</v>
      </c>
      <c r="Q16" s="70" t="s">
        <v>99</v>
      </c>
    </row>
    <row r="17" spans="1:82" ht="15" customHeight="1" x14ac:dyDescent="0.25">
      <c r="A17" s="4">
        <f>IF(AND(C17&gt;=0,C17&lt;=100),0,1)</f>
        <v>0</v>
      </c>
      <c r="B17" s="119" t="s">
        <v>100</v>
      </c>
      <c r="C17" s="108">
        <v>70</v>
      </c>
      <c r="D17" s="120" t="s">
        <v>101</v>
      </c>
      <c r="E17" s="120" t="s">
        <v>102</v>
      </c>
      <c r="G17" s="85" t="s">
        <v>103</v>
      </c>
      <c r="H17" s="79" t="s">
        <v>104</v>
      </c>
      <c r="I17" s="16"/>
      <c r="J17" s="121">
        <f>F11*(1-J9)</f>
        <v>195.52519724354124</v>
      </c>
      <c r="K17" s="112">
        <v>30</v>
      </c>
      <c r="L17" s="97" t="s">
        <v>105</v>
      </c>
      <c r="M17" s="38">
        <v>32</v>
      </c>
      <c r="N17" s="37" t="s">
        <v>106</v>
      </c>
    </row>
    <row r="18" spans="1:82" ht="15" customHeight="1" x14ac:dyDescent="0.25">
      <c r="A18" s="4">
        <f>IF(AND(C18&gt;=0,C18&lt;6,D18&gt;=0,D18&lt;6,E18&gt;=0,E18&lt;6),0,1)</f>
        <v>0</v>
      </c>
      <c r="B18" s="72" t="s">
        <v>107</v>
      </c>
      <c r="C18" s="113">
        <v>0.1</v>
      </c>
      <c r="D18" s="122">
        <v>0.1</v>
      </c>
      <c r="E18" s="122">
        <v>0.1</v>
      </c>
      <c r="G18" s="85" t="s">
        <v>108</v>
      </c>
      <c r="H18" s="86" t="s">
        <v>109</v>
      </c>
      <c r="I18" s="16"/>
      <c r="J18" s="121">
        <f>F11*(1+J9)</f>
        <v>238.9752410754393</v>
      </c>
      <c r="K18" s="112">
        <v>31</v>
      </c>
      <c r="L18" s="97" t="s">
        <v>110</v>
      </c>
      <c r="M18" s="38"/>
      <c r="N18" s="37" t="s">
        <v>86</v>
      </c>
      <c r="P18" s="4" t="s">
        <v>18</v>
      </c>
      <c r="Q18" s="4" t="s">
        <v>111</v>
      </c>
      <c r="BV18" s="4"/>
      <c r="BW18" s="4"/>
      <c r="BX18" s="4"/>
      <c r="BY18" s="4"/>
      <c r="BZ18" s="4"/>
      <c r="CA18" s="4"/>
      <c r="CB18" s="4"/>
      <c r="CC18" s="4"/>
      <c r="CD18" s="4"/>
    </row>
    <row r="19" spans="1:82" s="16" customFormat="1" ht="15" customHeight="1" x14ac:dyDescent="0.2">
      <c r="A19" s="4">
        <f>IF(AND(ISTEXT(C19),ISTEXT(D19),ISTEXT(E19)),0,1)</f>
        <v>0</v>
      </c>
      <c r="B19" s="123" t="s">
        <v>112</v>
      </c>
      <c r="C19" s="105" t="s">
        <v>113</v>
      </c>
      <c r="D19" s="124" t="s">
        <v>113</v>
      </c>
      <c r="E19" s="124" t="s">
        <v>113</v>
      </c>
      <c r="G19" s="85" t="s">
        <v>113</v>
      </c>
      <c r="H19" s="86" t="s">
        <v>114</v>
      </c>
      <c r="J19" s="121">
        <f>IF(ISNUMBER(F12),F12*(1-J9),LEFT(F12,3)*1)</f>
        <v>180</v>
      </c>
      <c r="K19" s="112">
        <v>32</v>
      </c>
      <c r="L19" s="97" t="s">
        <v>115</v>
      </c>
      <c r="M19" s="38">
        <v>50</v>
      </c>
      <c r="N19" s="37" t="s">
        <v>116</v>
      </c>
      <c r="P19" s="4" t="s">
        <v>25</v>
      </c>
      <c r="Q19" s="4" t="s">
        <v>117</v>
      </c>
      <c r="R19" s="125"/>
      <c r="S19" s="125"/>
      <c r="T19" s="125"/>
      <c r="U19" s="125"/>
      <c r="V19" s="125"/>
      <c r="W19" s="125"/>
      <c r="X19" s="125"/>
      <c r="Y19" s="125"/>
    </row>
    <row r="20" spans="1:82" s="16" customFormat="1" ht="15" customHeight="1" x14ac:dyDescent="0.2">
      <c r="A20" s="4">
        <f>IF(AND(C20&gt;0,C20&lt;30),0,1)</f>
        <v>0</v>
      </c>
      <c r="B20" s="72" t="s">
        <v>118</v>
      </c>
      <c r="C20" s="113">
        <v>9</v>
      </c>
      <c r="D20" s="154" t="s">
        <v>119</v>
      </c>
      <c r="E20" s="155"/>
      <c r="G20" s="85" t="s">
        <v>120</v>
      </c>
      <c r="H20" s="86" t="s">
        <v>121</v>
      </c>
      <c r="J20" s="121">
        <f>IF(ISNUMBER(F12),F12*(1+J9),RIGHT(F12,3)*1)</f>
        <v>220.00000000000003</v>
      </c>
      <c r="K20" s="112">
        <v>37</v>
      </c>
      <c r="L20" s="97" t="s">
        <v>122</v>
      </c>
      <c r="M20" s="38"/>
      <c r="N20" s="37" t="s">
        <v>123</v>
      </c>
      <c r="P20" s="4" t="s">
        <v>32</v>
      </c>
      <c r="Q20" s="4" t="s">
        <v>124</v>
      </c>
      <c r="R20" s="125"/>
      <c r="S20" s="125"/>
      <c r="T20" s="125"/>
      <c r="U20" s="125"/>
      <c r="V20" s="125"/>
      <c r="W20" s="125"/>
      <c r="X20" s="125"/>
      <c r="Y20" s="125"/>
    </row>
    <row r="21" spans="1:82" s="16" customFormat="1" ht="15" customHeight="1" x14ac:dyDescent="0.25">
      <c r="A21" s="4">
        <f>IF(ISTEXT(C21),0,1)</f>
        <v>0</v>
      </c>
      <c r="B21" s="72" t="s">
        <v>125</v>
      </c>
      <c r="C21" s="105" t="s">
        <v>32</v>
      </c>
      <c r="D21" s="126" t="s">
        <v>126</v>
      </c>
      <c r="E21" s="175" t="s">
        <v>127</v>
      </c>
      <c r="F21" s="175"/>
      <c r="G21" s="127" t="s">
        <v>128</v>
      </c>
      <c r="H21" s="118"/>
      <c r="I21" s="33"/>
      <c r="J21" s="128"/>
      <c r="K21" s="11">
        <v>39</v>
      </c>
      <c r="L21" s="5" t="s">
        <v>129</v>
      </c>
      <c r="M21" s="38">
        <v>51</v>
      </c>
      <c r="N21" s="37" t="s">
        <v>130</v>
      </c>
      <c r="P21" s="4" t="s">
        <v>40</v>
      </c>
      <c r="Q21" s="4" t="s">
        <v>131</v>
      </c>
      <c r="R21" s="125"/>
      <c r="S21" s="125"/>
      <c r="T21" s="125"/>
      <c r="U21" s="125"/>
      <c r="V21" s="125"/>
      <c r="W21" s="125"/>
      <c r="X21" s="125"/>
      <c r="Y21" s="125"/>
    </row>
    <row r="22" spans="1:82" s="16" customFormat="1" ht="15" customHeight="1" x14ac:dyDescent="0.25">
      <c r="A22" s="4">
        <f>IF(ISTEXT(C22),0,1)</f>
        <v>0</v>
      </c>
      <c r="B22" s="72" t="s">
        <v>132</v>
      </c>
      <c r="C22" s="105" t="s">
        <v>32</v>
      </c>
      <c r="D22" s="176" t="s">
        <v>133</v>
      </c>
      <c r="E22" s="177"/>
      <c r="F22" s="177"/>
      <c r="G22" s="178"/>
      <c r="H22" s="179"/>
      <c r="K22" s="38">
        <v>41</v>
      </c>
      <c r="L22" s="97" t="s">
        <v>134</v>
      </c>
      <c r="M22" s="41"/>
      <c r="N22" s="37" t="s">
        <v>135</v>
      </c>
      <c r="P22" s="4" t="s">
        <v>48</v>
      </c>
      <c r="Q22" s="4" t="s">
        <v>136</v>
      </c>
      <c r="R22" s="125"/>
      <c r="S22" s="125"/>
      <c r="T22" s="125"/>
      <c r="U22" s="125"/>
      <c r="V22" s="125"/>
      <c r="W22" s="125"/>
      <c r="X22" s="125"/>
      <c r="Y22" s="125"/>
    </row>
    <row r="23" spans="1:82" s="4" customFormat="1" ht="15" customHeight="1" x14ac:dyDescent="0.25">
      <c r="A23" s="4">
        <f>IF(ISTEXT(C23),0,1)</f>
        <v>0</v>
      </c>
      <c r="B23" s="72" t="s">
        <v>70</v>
      </c>
      <c r="C23" s="105" t="s">
        <v>83</v>
      </c>
      <c r="D23" s="176"/>
      <c r="E23" s="177"/>
      <c r="F23" s="177"/>
      <c r="G23" s="180" t="s">
        <v>137</v>
      </c>
      <c r="H23" s="181"/>
      <c r="I23" s="181"/>
      <c r="J23" s="129"/>
      <c r="K23" s="38">
        <v>45</v>
      </c>
      <c r="L23" s="97" t="s">
        <v>138</v>
      </c>
      <c r="M23" s="38">
        <v>55</v>
      </c>
      <c r="N23" s="37" t="s">
        <v>139</v>
      </c>
      <c r="P23" s="4" t="s">
        <v>56</v>
      </c>
      <c r="Q23" s="4" t="s">
        <v>140</v>
      </c>
      <c r="R23" s="6"/>
      <c r="S23" s="6"/>
      <c r="T23" s="6"/>
      <c r="U23" s="6"/>
      <c r="V23" s="6"/>
      <c r="W23" s="6"/>
      <c r="X23" s="6"/>
      <c r="Y23" s="6"/>
    </row>
    <row r="24" spans="1:82" s="16" customFormat="1" ht="15" customHeight="1" x14ac:dyDescent="0.25">
      <c r="A24" s="69">
        <f>COUNTBLANK(C26:E28)+COUNTBLANK(C29:C34)+SUM(A25,A29:A35)</f>
        <v>0</v>
      </c>
      <c r="B24" s="130" t="s">
        <v>141</v>
      </c>
      <c r="C24" s="125"/>
      <c r="D24" s="3"/>
      <c r="E24" s="1"/>
      <c r="F24" s="1"/>
      <c r="G24" s="182"/>
      <c r="H24" s="183"/>
      <c r="I24" s="183"/>
      <c r="J24" s="129"/>
      <c r="K24" s="38">
        <v>49</v>
      </c>
      <c r="L24" s="97" t="s">
        <v>142</v>
      </c>
      <c r="M24" s="38"/>
      <c r="N24" s="37" t="s">
        <v>143</v>
      </c>
      <c r="P24" s="4" t="s">
        <v>77</v>
      </c>
      <c r="Q24" s="4" t="s">
        <v>144</v>
      </c>
      <c r="R24" s="125"/>
      <c r="S24" s="125"/>
      <c r="T24" s="125"/>
      <c r="U24" s="125"/>
      <c r="V24" s="125"/>
      <c r="W24" s="125"/>
      <c r="X24" s="125"/>
      <c r="Y24" s="125"/>
    </row>
    <row r="25" spans="1:82" s="16" customFormat="1" ht="15" customHeight="1" x14ac:dyDescent="0.25">
      <c r="A25" s="131">
        <f>IF(OR(C26&gt;E26,C26&lt;D26,D26&gt;E26),0.5,0)</f>
        <v>0</v>
      </c>
      <c r="B25" s="132"/>
      <c r="C25" s="133" t="s">
        <v>145</v>
      </c>
      <c r="D25" s="133" t="s">
        <v>146</v>
      </c>
      <c r="E25" s="134" t="s">
        <v>102</v>
      </c>
      <c r="F25" s="1"/>
      <c r="G25" s="184" t="s">
        <v>147</v>
      </c>
      <c r="H25" s="184" t="s">
        <v>148</v>
      </c>
      <c r="I25" s="185" t="s">
        <v>149</v>
      </c>
      <c r="J25" s="129"/>
      <c r="K25" s="38">
        <v>51</v>
      </c>
      <c r="L25" s="97" t="s">
        <v>150</v>
      </c>
      <c r="M25" s="38">
        <v>59</v>
      </c>
      <c r="N25" s="37" t="s">
        <v>151</v>
      </c>
      <c r="P25" s="4" t="s">
        <v>83</v>
      </c>
      <c r="Q25" s="4" t="s">
        <v>152</v>
      </c>
      <c r="R25" s="125"/>
      <c r="S25" s="125"/>
      <c r="T25" s="125"/>
      <c r="U25" s="125"/>
      <c r="V25" s="125"/>
      <c r="W25" s="125"/>
      <c r="X25" s="125"/>
      <c r="Y25" s="125"/>
    </row>
    <row r="26" spans="1:82" s="16" customFormat="1" ht="15" customHeight="1" x14ac:dyDescent="0.25">
      <c r="A26" s="69">
        <f>IF(ISNUMBER(C26),0,1)+IF(ISNUMBER(D26),0,1)+IF(ISNUMBER(E26),0,1)+IF(OR(C26&gt;100,D26&gt;100,E26&gt;100),1,0)</f>
        <v>0</v>
      </c>
      <c r="B26" s="72" t="s">
        <v>153</v>
      </c>
      <c r="C26" s="135">
        <v>14</v>
      </c>
      <c r="D26" s="135">
        <v>13</v>
      </c>
      <c r="E26" s="136">
        <v>15</v>
      </c>
      <c r="F26" s="137">
        <f>IF(AND([1]kf!K12&lt;&gt;"Weeds in cereals",OR(AND(C26&gt;29,C26&lt;40),AND(C26&gt;49,C26&lt;60))),1,0)</f>
        <v>0</v>
      </c>
      <c r="G26" s="184"/>
      <c r="H26" s="184"/>
      <c r="I26" s="185"/>
      <c r="J26" s="1"/>
      <c r="K26" s="38">
        <v>55</v>
      </c>
      <c r="L26" s="97" t="s">
        <v>154</v>
      </c>
      <c r="M26" s="38">
        <v>61</v>
      </c>
      <c r="N26" s="37" t="s">
        <v>155</v>
      </c>
      <c r="P26" s="4" t="s">
        <v>90</v>
      </c>
      <c r="Q26" s="4" t="s">
        <v>156</v>
      </c>
      <c r="R26" s="125"/>
      <c r="S26" s="125"/>
      <c r="T26" s="125"/>
      <c r="U26" s="125"/>
      <c r="V26" s="125"/>
      <c r="W26" s="125"/>
      <c r="X26" s="125"/>
      <c r="Y26" s="125"/>
    </row>
    <row r="27" spans="1:82" s="16" customFormat="1" ht="15" customHeight="1" x14ac:dyDescent="0.25">
      <c r="A27" s="69">
        <f>IF(ISNUMBER(C27),0,1)+IF(ISNUMBER(D27),0,1)+IF(ISNUMBER(E27),0,1)+IF(OR(C27&lt;D27,C27&lt;E27,SUM(C27:E27)&gt;100),1,0)</f>
        <v>0</v>
      </c>
      <c r="B27" s="72" t="s">
        <v>157</v>
      </c>
      <c r="C27" s="136">
        <v>90</v>
      </c>
      <c r="D27" s="136">
        <v>5</v>
      </c>
      <c r="E27" s="136">
        <v>5</v>
      </c>
      <c r="F27" s="1"/>
      <c r="G27" s="138"/>
      <c r="H27" s="138"/>
      <c r="I27" s="138"/>
      <c r="J27" s="1"/>
      <c r="K27" s="38">
        <v>59</v>
      </c>
      <c r="L27" s="97" t="s">
        <v>158</v>
      </c>
      <c r="M27" s="38">
        <v>65</v>
      </c>
      <c r="N27" s="37" t="s">
        <v>159</v>
      </c>
      <c r="P27" s="4" t="s">
        <v>109</v>
      </c>
      <c r="Q27" s="4" t="s">
        <v>160</v>
      </c>
      <c r="R27" s="125"/>
      <c r="S27" s="125"/>
      <c r="T27" s="125"/>
      <c r="U27" s="125"/>
      <c r="V27" s="125"/>
      <c r="W27" s="125"/>
      <c r="X27" s="125"/>
      <c r="Y27" s="125"/>
    </row>
    <row r="28" spans="1:82" s="16" customFormat="1" ht="15" customHeight="1" x14ac:dyDescent="0.25">
      <c r="A28" s="69">
        <f>IF(ISNUMBER(C28),0,1)+IF(ISNUMBER(D28),0,1)+IF(ISNUMBER(E28),0,1)+IF(D28&gt;C28,1,0)+IF(OR(E28&lt;C28,E28&lt;D28),1,0)</f>
        <v>0</v>
      </c>
      <c r="B28" s="72" t="s">
        <v>161</v>
      </c>
      <c r="C28" s="135">
        <v>20</v>
      </c>
      <c r="D28" s="135">
        <v>17</v>
      </c>
      <c r="E28" s="136">
        <v>22</v>
      </c>
      <c r="F28" s="1"/>
      <c r="G28" s="139" t="str">
        <f>[1]Maskiner!Q26</f>
        <v>E Speedy 2006</v>
      </c>
      <c r="H28" s="139" t="str">
        <f>[1]Maskiner!R26</f>
        <v>HSE 3.1</v>
      </c>
      <c r="I28" s="140">
        <f>[1]Maskiner!S26</f>
        <v>46</v>
      </c>
      <c r="J28" s="1"/>
      <c r="K28" s="38">
        <v>61</v>
      </c>
      <c r="L28" s="97" t="s">
        <v>162</v>
      </c>
      <c r="M28" s="38">
        <v>69</v>
      </c>
      <c r="N28" s="37" t="s">
        <v>163</v>
      </c>
      <c r="P28" s="4" t="s">
        <v>114</v>
      </c>
      <c r="Q28" s="4" t="s">
        <v>164</v>
      </c>
      <c r="R28" s="125"/>
      <c r="S28" s="125"/>
      <c r="T28" s="125"/>
      <c r="U28" s="125"/>
      <c r="V28" s="125"/>
      <c r="W28" s="125"/>
      <c r="X28" s="125"/>
      <c r="Y28" s="125"/>
    </row>
    <row r="29" spans="1:82" s="16" customFormat="1" ht="15" customHeight="1" x14ac:dyDescent="0.2">
      <c r="A29" s="131">
        <f>IF(ISNUMBER(C29),0,1)</f>
        <v>0</v>
      </c>
      <c r="B29" s="72" t="s">
        <v>165</v>
      </c>
      <c r="C29" s="136">
        <v>34</v>
      </c>
      <c r="E29" s="165" t="str">
        <f>IF(SUM(A2,A7,A14,A24,A36)=0,"Allt klart!",IF(AND(SUM(A2,A7,A14,A24)=0,A36=1),"Du har glömt att signera!",VLOOKUP(A1,P2:Q18,2,0)))</f>
        <v>Allt klart!</v>
      </c>
      <c r="F29" s="166"/>
      <c r="G29" s="139" t="str">
        <f>[1]Maskiner!Q27</f>
        <v>E Speedy 2018</v>
      </c>
      <c r="H29" s="139" t="str">
        <f>[1]Maskiner!R27</f>
        <v>HSE 3.12</v>
      </c>
      <c r="I29" s="140">
        <f>[1]Maskiner!S27</f>
        <v>46</v>
      </c>
      <c r="J29" s="141"/>
      <c r="K29" s="40">
        <v>65</v>
      </c>
      <c r="L29" s="5" t="s">
        <v>166</v>
      </c>
      <c r="M29" s="38">
        <v>70</v>
      </c>
      <c r="N29" s="37" t="s">
        <v>167</v>
      </c>
      <c r="P29" s="4" t="s">
        <v>121</v>
      </c>
      <c r="Q29" s="4" t="s">
        <v>168</v>
      </c>
      <c r="R29" s="125"/>
      <c r="S29" s="125"/>
      <c r="T29" s="125"/>
      <c r="U29" s="125"/>
      <c r="V29" s="125"/>
      <c r="W29" s="125"/>
      <c r="X29" s="125"/>
      <c r="Y29" s="125"/>
    </row>
    <row r="30" spans="1:82" s="16" customFormat="1" ht="15" customHeight="1" x14ac:dyDescent="0.2">
      <c r="A30" s="142">
        <f>IF(ISTEXT(C30),0,1)</f>
        <v>0</v>
      </c>
      <c r="B30" s="72" t="s">
        <v>169</v>
      </c>
      <c r="C30" s="143" t="s">
        <v>114</v>
      </c>
      <c r="E30" s="165"/>
      <c r="F30" s="166"/>
      <c r="G30" s="139" t="str">
        <f>[1]Maskiner!Q28</f>
        <v>E Agrotop 1991</v>
      </c>
      <c r="H30" s="139" t="str">
        <f>[1]Maskiner!R28</f>
        <v>HSE 3.3</v>
      </c>
      <c r="I30" s="140">
        <f>[1]Maskiner!S28</f>
        <v>50</v>
      </c>
      <c r="J30" s="141"/>
      <c r="K30" s="38">
        <v>69</v>
      </c>
      <c r="L30" s="97" t="s">
        <v>163</v>
      </c>
      <c r="M30" s="38">
        <v>71</v>
      </c>
      <c r="N30" s="37" t="s">
        <v>170</v>
      </c>
      <c r="P30" s="4" t="s">
        <v>19</v>
      </c>
      <c r="Q30" s="4" t="s">
        <v>171</v>
      </c>
      <c r="R30" s="125"/>
      <c r="S30" s="125"/>
      <c r="T30" s="125"/>
      <c r="U30" s="125"/>
      <c r="V30" s="125"/>
      <c r="W30" s="125"/>
      <c r="X30" s="125"/>
      <c r="Y30" s="125"/>
    </row>
    <row r="31" spans="1:82" s="4" customFormat="1" ht="15" customHeight="1" x14ac:dyDescent="0.2">
      <c r="A31" s="142">
        <f>IF(AND(C31&gt;=0,C31&lt;=100),0,1)</f>
        <v>0</v>
      </c>
      <c r="B31" s="72" t="s">
        <v>172</v>
      </c>
      <c r="C31" s="144">
        <v>95</v>
      </c>
      <c r="E31" s="165"/>
      <c r="F31" s="166"/>
      <c r="G31" s="139" t="str">
        <f>[1]Maskiner!Q29</f>
        <v>E Hardi 12 m årsm 2000</v>
      </c>
      <c r="H31" s="139" t="str">
        <f>[1]Maskiner!R29</f>
        <v>HSE 3.4</v>
      </c>
      <c r="I31" s="140">
        <f>[1]Maskiner!S29</f>
        <v>50</v>
      </c>
      <c r="J31" s="141"/>
      <c r="K31" s="38">
        <v>73</v>
      </c>
      <c r="L31" s="97" t="s">
        <v>173</v>
      </c>
      <c r="M31" s="38" t="s">
        <v>174</v>
      </c>
      <c r="N31" s="37" t="s">
        <v>175</v>
      </c>
      <c r="P31" s="4" t="s">
        <v>26</v>
      </c>
      <c r="Q31" s="4" t="s">
        <v>176</v>
      </c>
      <c r="R31" s="6"/>
      <c r="S31" s="6"/>
      <c r="T31" s="6"/>
      <c r="U31" s="6"/>
      <c r="V31" s="6"/>
      <c r="W31" s="6"/>
      <c r="X31" s="6"/>
      <c r="Y31" s="6"/>
    </row>
    <row r="32" spans="1:82" s="16" customFormat="1" ht="15" customHeight="1" x14ac:dyDescent="0.2">
      <c r="A32" s="142">
        <f>IF(ISTEXT(C32),0,1)</f>
        <v>0</v>
      </c>
      <c r="B32" s="72" t="s">
        <v>177</v>
      </c>
      <c r="C32" s="144" t="s">
        <v>178</v>
      </c>
      <c r="D32" s="145" t="s">
        <v>179</v>
      </c>
      <c r="E32" s="165"/>
      <c r="F32" s="166"/>
      <c r="G32" s="139" t="e">
        <f>[1]Maskiner!Q30</f>
        <v>#N/A</v>
      </c>
      <c r="H32" s="139" t="e">
        <f>[1]Maskiner!R30</f>
        <v>#N/A</v>
      </c>
      <c r="I32" s="140" t="e">
        <f>[1]Maskiner!S30</f>
        <v>#N/A</v>
      </c>
      <c r="J32" s="141"/>
      <c r="K32" s="38">
        <v>75</v>
      </c>
      <c r="L32" s="97" t="s">
        <v>180</v>
      </c>
      <c r="M32" s="167"/>
      <c r="N32" s="168"/>
      <c r="P32" s="4" t="s">
        <v>33</v>
      </c>
      <c r="Q32" s="4" t="s">
        <v>181</v>
      </c>
      <c r="R32" s="125"/>
      <c r="S32" s="125"/>
      <c r="T32" s="125"/>
      <c r="U32" s="125"/>
      <c r="V32" s="125"/>
      <c r="W32" s="125"/>
      <c r="X32" s="125"/>
      <c r="Y32" s="125"/>
    </row>
    <row r="33" spans="1:25" s="16" customFormat="1" ht="15" customHeight="1" x14ac:dyDescent="0.25">
      <c r="A33" s="142">
        <f>IF(ISTEXT(C33),0,1)</f>
        <v>0</v>
      </c>
      <c r="B33" s="72" t="s">
        <v>182</v>
      </c>
      <c r="C33" s="146" t="s">
        <v>26</v>
      </c>
      <c r="D33" s="3"/>
      <c r="E33" s="165"/>
      <c r="F33" s="166"/>
      <c r="G33" s="139" t="e">
        <f>[1]Maskiner!Q31</f>
        <v>#N/A</v>
      </c>
      <c r="H33" s="139" t="e">
        <f>[1]Maskiner!R31</f>
        <v>#N/A</v>
      </c>
      <c r="I33" s="140" t="e">
        <f>[1]Maskiner!S31</f>
        <v>#N/A</v>
      </c>
      <c r="J33" s="141"/>
      <c r="K33" s="38">
        <v>77</v>
      </c>
      <c r="L33" s="97" t="s">
        <v>183</v>
      </c>
      <c r="M33" s="169"/>
      <c r="N33" s="170"/>
      <c r="R33" s="125"/>
      <c r="S33" s="125"/>
      <c r="T33" s="125"/>
      <c r="U33" s="125"/>
      <c r="V33" s="125"/>
      <c r="W33" s="125"/>
      <c r="X33" s="125"/>
      <c r="Y33" s="125"/>
    </row>
    <row r="34" spans="1:25" s="16" customFormat="1" ht="15" customHeight="1" x14ac:dyDescent="0.25">
      <c r="A34" s="142">
        <f>IF(AND(C34&gt;=5,C34&lt;=100),0,1)</f>
        <v>0</v>
      </c>
      <c r="B34" s="72" t="s">
        <v>184</v>
      </c>
      <c r="C34" s="144">
        <v>12.5</v>
      </c>
      <c r="D34" s="3"/>
      <c r="E34" s="165"/>
      <c r="F34" s="166"/>
      <c r="G34" s="139" t="e">
        <f>[1]Maskiner!Q32</f>
        <v>#N/A</v>
      </c>
      <c r="H34" s="139" t="e">
        <f>[1]Maskiner!R32</f>
        <v>#N/A</v>
      </c>
      <c r="I34" s="140" t="e">
        <f>[1]Maskiner!S32</f>
        <v>#N/A</v>
      </c>
      <c r="J34" s="141"/>
      <c r="K34" s="38">
        <v>83</v>
      </c>
      <c r="L34" s="97" t="s">
        <v>185</v>
      </c>
      <c r="M34" s="169"/>
      <c r="N34" s="170"/>
      <c r="R34" s="125"/>
      <c r="S34" s="125"/>
      <c r="T34" s="125"/>
      <c r="U34" s="125"/>
      <c r="V34" s="125"/>
      <c r="W34" s="125"/>
      <c r="X34" s="125"/>
      <c r="Y34" s="125"/>
    </row>
    <row r="35" spans="1:25" s="16" customFormat="1" ht="15" customHeight="1" x14ac:dyDescent="0.25">
      <c r="A35" s="131">
        <f>IF(OR(C28&gt;E28,C28&lt;D28,D28&gt;E28),0.5,0)</f>
        <v>0</v>
      </c>
      <c r="B35" s="123" t="s">
        <v>186</v>
      </c>
      <c r="C35" s="144"/>
      <c r="D35" s="147" t="s">
        <v>187</v>
      </c>
      <c r="E35" s="1"/>
      <c r="F35" s="1"/>
      <c r="G35" s="139" t="e">
        <f>[1]Maskiner!Q33</f>
        <v>#N/A</v>
      </c>
      <c r="H35" s="139" t="e">
        <f>[1]Maskiner!R33</f>
        <v>#N/A</v>
      </c>
      <c r="I35" s="140" t="e">
        <f>[1]Maskiner!S33</f>
        <v>#N/A</v>
      </c>
      <c r="J35" s="141"/>
      <c r="K35" s="38">
        <v>85</v>
      </c>
      <c r="L35" s="97" t="s">
        <v>188</v>
      </c>
      <c r="M35" s="169"/>
      <c r="N35" s="170"/>
      <c r="R35" s="125"/>
      <c r="S35" s="125"/>
      <c r="T35" s="125"/>
      <c r="U35" s="125"/>
      <c r="V35" s="125"/>
      <c r="W35" s="125"/>
      <c r="X35" s="125"/>
      <c r="Y35" s="125"/>
    </row>
    <row r="36" spans="1:25" s="16" customFormat="1" ht="15" customHeight="1" x14ac:dyDescent="0.25">
      <c r="A36" s="69">
        <f>COUNTBLANK(C36)</f>
        <v>0</v>
      </c>
      <c r="B36" s="148" t="s">
        <v>189</v>
      </c>
      <c r="C36" s="173" t="s">
        <v>195</v>
      </c>
      <c r="D36" s="174"/>
      <c r="E36" s="1"/>
      <c r="F36" s="1"/>
      <c r="G36" s="139" t="e">
        <f>[1]Maskiner!Q34</f>
        <v>#N/A</v>
      </c>
      <c r="H36" s="139" t="e">
        <f>[1]Maskiner!R34</f>
        <v>#N/A</v>
      </c>
      <c r="I36" s="140" t="e">
        <f>[1]Maskiner!S34</f>
        <v>#N/A</v>
      </c>
      <c r="J36" s="149"/>
      <c r="K36" s="35">
        <v>87</v>
      </c>
      <c r="L36" s="150" t="s">
        <v>191</v>
      </c>
      <c r="M36" s="171"/>
      <c r="N36" s="172"/>
      <c r="R36" s="125"/>
      <c r="S36" s="125"/>
      <c r="T36" s="125"/>
      <c r="U36" s="125"/>
      <c r="V36" s="125"/>
      <c r="W36" s="125"/>
      <c r="X36" s="125"/>
      <c r="Y36" s="125"/>
    </row>
    <row r="37" spans="1:25" s="16" customFormat="1" ht="15" customHeight="1" x14ac:dyDescent="0.25">
      <c r="A37" s="69"/>
      <c r="F37" s="1"/>
      <c r="G37" s="1"/>
      <c r="H37" s="1"/>
      <c r="I37" s="1"/>
      <c r="J37" s="1"/>
      <c r="R37" s="125"/>
      <c r="S37" s="125"/>
      <c r="T37" s="125"/>
      <c r="U37" s="125"/>
      <c r="V37" s="125"/>
      <c r="W37" s="125"/>
      <c r="X37" s="125"/>
      <c r="Y37" s="125"/>
    </row>
    <row r="38" spans="1:25" s="16" customFormat="1" ht="13.5" customHeight="1" x14ac:dyDescent="0.25">
      <c r="A38" s="69"/>
      <c r="B38" s="1"/>
      <c r="C38" s="3"/>
      <c r="F38" s="1"/>
      <c r="G38" s="1"/>
      <c r="H38" s="1"/>
      <c r="I38" s="1"/>
      <c r="J38" s="1"/>
      <c r="R38" s="125"/>
      <c r="S38" s="125"/>
      <c r="T38" s="125"/>
      <c r="U38" s="125"/>
      <c r="V38" s="125"/>
      <c r="W38" s="125"/>
      <c r="X38" s="125"/>
      <c r="Y38" s="125"/>
    </row>
    <row r="39" spans="1:25" s="16" customFormat="1" ht="13.5" customHeight="1" x14ac:dyDescent="0.25">
      <c r="A39" s="69"/>
      <c r="B39" s="1"/>
      <c r="C39" s="3"/>
      <c r="D39" s="3"/>
      <c r="E39" s="1"/>
      <c r="F39" s="1"/>
      <c r="G39" s="1"/>
      <c r="H39" s="1"/>
      <c r="I39" s="1"/>
      <c r="J39" s="1"/>
      <c r="R39" s="125"/>
      <c r="S39" s="125"/>
      <c r="T39" s="125"/>
      <c r="U39" s="125"/>
      <c r="V39" s="125"/>
      <c r="W39" s="125"/>
      <c r="X39" s="125"/>
      <c r="Y39" s="125"/>
    </row>
    <row r="40" spans="1:25" s="16" customFormat="1" ht="13.5" customHeight="1" x14ac:dyDescent="0.25">
      <c r="A40" s="69"/>
      <c r="B40" s="1"/>
      <c r="C40" s="3"/>
      <c r="D40" s="3"/>
      <c r="E40" s="1"/>
      <c r="F40" s="1"/>
      <c r="G40" s="1"/>
      <c r="H40" s="1"/>
      <c r="I40" s="1"/>
      <c r="J40" s="1"/>
      <c r="R40" s="125"/>
      <c r="S40" s="125"/>
      <c r="T40" s="125"/>
      <c r="U40" s="125"/>
      <c r="V40" s="125"/>
      <c r="W40" s="125"/>
      <c r="X40" s="125"/>
      <c r="Y40" s="125"/>
    </row>
    <row r="41" spans="1:25" s="16" customFormat="1" ht="13.5" customHeight="1" x14ac:dyDescent="0.25">
      <c r="A41" s="69"/>
      <c r="B41" s="1"/>
      <c r="C41" s="3"/>
      <c r="D41" s="3"/>
      <c r="E41" s="1"/>
      <c r="F41" s="1"/>
      <c r="G41" s="1"/>
      <c r="H41" s="1"/>
      <c r="I41" s="1"/>
      <c r="J41" s="1"/>
      <c r="R41" s="125"/>
      <c r="S41" s="125"/>
      <c r="T41" s="125"/>
      <c r="U41" s="125"/>
      <c r="V41" s="125"/>
      <c r="W41" s="125"/>
      <c r="X41" s="125"/>
      <c r="Y41" s="125"/>
    </row>
    <row r="42" spans="1:25" s="16" customFormat="1" ht="13.5" customHeight="1" x14ac:dyDescent="0.25">
      <c r="A42" s="69"/>
      <c r="B42" s="1"/>
      <c r="C42" s="3"/>
      <c r="D42" s="3"/>
      <c r="E42" s="1"/>
      <c r="F42" s="1"/>
      <c r="G42" s="1"/>
      <c r="H42" s="1"/>
      <c r="I42" s="1"/>
      <c r="J42" s="1"/>
      <c r="R42" s="125"/>
      <c r="S42" s="125"/>
      <c r="T42" s="125"/>
      <c r="U42" s="125"/>
      <c r="V42" s="125"/>
      <c r="W42" s="125"/>
      <c r="X42" s="125"/>
      <c r="Y42" s="125"/>
    </row>
    <row r="43" spans="1:25" s="16" customFormat="1" ht="13.5" customHeight="1" x14ac:dyDescent="0.25">
      <c r="A43" s="69"/>
      <c r="B43" s="1"/>
      <c r="C43" s="3"/>
      <c r="D43" s="3"/>
      <c r="E43" s="1"/>
      <c r="F43" s="1"/>
      <c r="G43" s="1"/>
      <c r="H43" s="1"/>
      <c r="I43" s="1"/>
      <c r="J43" s="1"/>
      <c r="R43" s="125"/>
      <c r="S43" s="125"/>
      <c r="T43" s="125"/>
      <c r="U43" s="125"/>
      <c r="V43" s="125"/>
      <c r="W43" s="125"/>
      <c r="X43" s="125"/>
      <c r="Y43" s="125"/>
    </row>
    <row r="44" spans="1:25" s="16" customFormat="1" ht="13.5" customHeight="1" x14ac:dyDescent="0.25">
      <c r="A44" s="69"/>
      <c r="B44" s="1"/>
      <c r="C44" s="3"/>
      <c r="D44" s="3"/>
      <c r="E44" s="1"/>
      <c r="F44" s="1"/>
      <c r="G44" s="1"/>
      <c r="H44" s="1"/>
      <c r="I44" s="1"/>
      <c r="J44" s="1"/>
      <c r="R44" s="125"/>
      <c r="S44" s="125"/>
      <c r="T44" s="125"/>
      <c r="U44" s="125"/>
      <c r="V44" s="125"/>
      <c r="W44" s="125"/>
      <c r="X44" s="125"/>
      <c r="Y44" s="125"/>
    </row>
    <row r="45" spans="1:25" s="16" customFormat="1" ht="13.5" customHeight="1" x14ac:dyDescent="0.25">
      <c r="A45" s="69"/>
      <c r="B45" s="1"/>
      <c r="C45" s="3"/>
      <c r="D45" s="3"/>
      <c r="E45" s="1"/>
      <c r="F45" s="1"/>
      <c r="G45" s="1"/>
      <c r="H45" s="1"/>
      <c r="I45" s="1"/>
      <c r="J45" s="1"/>
      <c r="R45" s="125"/>
      <c r="S45" s="125"/>
      <c r="T45" s="125"/>
      <c r="U45" s="125"/>
      <c r="V45" s="125"/>
      <c r="W45" s="125"/>
      <c r="X45" s="125"/>
      <c r="Y45" s="125"/>
    </row>
    <row r="46" spans="1:25" s="16" customFormat="1" ht="13.5" customHeight="1" x14ac:dyDescent="0.25">
      <c r="A46" s="69"/>
      <c r="B46" s="1"/>
      <c r="C46" s="3"/>
      <c r="D46" s="3"/>
      <c r="E46" s="1"/>
      <c r="F46" s="1"/>
      <c r="G46" s="1"/>
      <c r="H46" s="1"/>
      <c r="I46" s="1"/>
      <c r="J46" s="1"/>
      <c r="R46" s="125"/>
      <c r="S46" s="125"/>
      <c r="T46" s="125"/>
      <c r="U46" s="125"/>
      <c r="V46" s="125"/>
      <c r="W46" s="125"/>
      <c r="X46" s="125"/>
      <c r="Y46" s="125"/>
    </row>
    <row r="47" spans="1:25" s="16" customFormat="1" ht="13.5" customHeight="1" x14ac:dyDescent="0.25">
      <c r="A47" s="69"/>
      <c r="B47" s="1"/>
      <c r="C47" s="3"/>
      <c r="D47" s="3"/>
      <c r="E47" s="1"/>
      <c r="F47" s="1"/>
      <c r="G47" s="1"/>
      <c r="H47" s="1"/>
      <c r="I47" s="1"/>
      <c r="J47" s="1"/>
      <c r="R47" s="125"/>
      <c r="S47" s="125"/>
      <c r="T47" s="125"/>
      <c r="U47" s="125"/>
      <c r="V47" s="125"/>
      <c r="W47" s="125"/>
      <c r="X47" s="125"/>
      <c r="Y47" s="125"/>
    </row>
    <row r="48" spans="1:25" s="16" customFormat="1" ht="13.5" customHeight="1" x14ac:dyDescent="0.25">
      <c r="A48" s="69"/>
      <c r="B48" s="1"/>
      <c r="C48" s="3"/>
      <c r="D48" s="3"/>
      <c r="E48" s="1"/>
      <c r="F48" s="1"/>
      <c r="G48" s="1"/>
      <c r="H48" s="1"/>
      <c r="I48" s="1"/>
      <c r="J48" s="1"/>
      <c r="R48" s="125"/>
      <c r="S48" s="125"/>
      <c r="T48" s="125"/>
      <c r="U48" s="125"/>
      <c r="V48" s="125"/>
      <c r="W48" s="125"/>
      <c r="X48" s="125"/>
      <c r="Y48" s="125"/>
    </row>
    <row r="49" spans="1:25" s="10" customFormat="1" ht="13.5" customHeight="1" x14ac:dyDescent="0.25">
      <c r="A49" s="69"/>
      <c r="B49" s="1"/>
      <c r="C49" s="3"/>
      <c r="D49" s="3"/>
      <c r="E49" s="1"/>
      <c r="F49" s="1"/>
      <c r="G49" s="1"/>
      <c r="H49" s="1"/>
      <c r="I49" s="1"/>
      <c r="J49" s="1"/>
      <c r="M49" s="16"/>
      <c r="N49" s="16"/>
      <c r="R49" s="151"/>
      <c r="S49" s="151"/>
      <c r="T49" s="151"/>
      <c r="U49" s="151"/>
      <c r="V49" s="151"/>
      <c r="W49" s="151"/>
      <c r="X49" s="151"/>
      <c r="Y49" s="151"/>
    </row>
    <row r="50" spans="1:25" s="4" customFormat="1" ht="13.5" customHeight="1" x14ac:dyDescent="0.25">
      <c r="A50" s="69"/>
      <c r="B50" s="1"/>
      <c r="C50" s="3"/>
      <c r="D50" s="3"/>
      <c r="E50" s="1"/>
      <c r="F50" s="1"/>
      <c r="G50" s="1"/>
      <c r="H50" s="1"/>
      <c r="I50" s="1"/>
      <c r="J50" s="1"/>
      <c r="M50" s="16"/>
      <c r="N50" s="10"/>
      <c r="R50" s="6"/>
      <c r="S50" s="6"/>
      <c r="T50" s="6"/>
      <c r="U50" s="6"/>
      <c r="V50" s="6"/>
      <c r="W50" s="6"/>
      <c r="X50" s="6"/>
      <c r="Y50" s="6"/>
    </row>
    <row r="51" spans="1:25" s="4" customFormat="1" ht="13.5" customHeight="1" x14ac:dyDescent="0.25">
      <c r="A51" s="69"/>
      <c r="B51" s="1"/>
      <c r="C51" s="3"/>
      <c r="D51" s="3"/>
      <c r="E51" s="1"/>
      <c r="F51" s="1"/>
      <c r="G51" s="1"/>
      <c r="H51" s="1"/>
      <c r="I51" s="1"/>
      <c r="J51" s="1"/>
      <c r="M51" s="10"/>
      <c r="R51" s="6"/>
      <c r="S51" s="6"/>
      <c r="T51" s="6"/>
      <c r="U51" s="6"/>
      <c r="V51" s="6"/>
      <c r="W51" s="6"/>
      <c r="X51" s="6"/>
      <c r="Y51" s="6"/>
    </row>
    <row r="52" spans="1:25" s="4" customFormat="1" ht="13.5" customHeight="1" x14ac:dyDescent="0.25">
      <c r="A52" s="69"/>
      <c r="B52" s="1"/>
      <c r="C52" s="3"/>
      <c r="D52" s="3"/>
      <c r="E52" s="1"/>
      <c r="F52" s="1"/>
      <c r="G52" s="1"/>
      <c r="H52" s="1"/>
      <c r="I52" s="1"/>
      <c r="J52" s="1"/>
      <c r="R52" s="6"/>
      <c r="S52" s="6"/>
      <c r="T52" s="6"/>
      <c r="U52" s="6"/>
      <c r="V52" s="6"/>
      <c r="W52" s="6"/>
      <c r="X52" s="6"/>
      <c r="Y52" s="6"/>
    </row>
    <row r="53" spans="1:25" s="4" customFormat="1" ht="7.5" customHeight="1" x14ac:dyDescent="0.25">
      <c r="A53" s="69"/>
      <c r="B53" s="1"/>
      <c r="C53" s="3"/>
      <c r="D53" s="3"/>
      <c r="E53" s="1"/>
      <c r="F53" s="1"/>
      <c r="G53" s="1"/>
      <c r="H53" s="1"/>
      <c r="I53" s="1"/>
      <c r="J53" s="1"/>
      <c r="R53" s="6"/>
      <c r="S53" s="6"/>
      <c r="T53" s="6"/>
      <c r="U53" s="6"/>
      <c r="V53" s="6"/>
      <c r="W53" s="6"/>
      <c r="X53" s="6"/>
      <c r="Y53" s="6"/>
    </row>
    <row r="54" spans="1:25" s="4" customFormat="1" ht="11.25" customHeight="1" x14ac:dyDescent="0.25">
      <c r="A54" s="69"/>
      <c r="B54" s="1"/>
      <c r="C54" s="3"/>
      <c r="D54" s="3"/>
      <c r="E54" s="1"/>
      <c r="F54" s="1"/>
      <c r="G54" s="1"/>
      <c r="H54" s="1"/>
      <c r="I54" s="1"/>
      <c r="J54" s="1"/>
      <c r="M54" s="16"/>
      <c r="N54" s="16"/>
      <c r="R54" s="6"/>
      <c r="S54" s="6"/>
      <c r="T54" s="6"/>
      <c r="U54" s="6"/>
      <c r="V54" s="6"/>
      <c r="W54" s="6"/>
      <c r="X54" s="6"/>
      <c r="Y54" s="6"/>
    </row>
    <row r="55" spans="1:25" s="4" customFormat="1" ht="11.25" customHeight="1" x14ac:dyDescent="0.25">
      <c r="A55" s="69"/>
      <c r="B55" s="1"/>
      <c r="C55" s="3"/>
      <c r="D55" s="3"/>
      <c r="E55" s="1"/>
      <c r="F55" s="1"/>
      <c r="G55" s="1"/>
      <c r="H55" s="1"/>
      <c r="I55" s="1"/>
      <c r="J55" s="1"/>
      <c r="M55" s="16"/>
      <c r="N55" s="16"/>
      <c r="R55" s="6"/>
      <c r="S55" s="6"/>
      <c r="T55" s="6"/>
      <c r="U55" s="6"/>
      <c r="V55" s="6"/>
      <c r="W55" s="6"/>
      <c r="X55" s="6"/>
      <c r="Y55" s="6"/>
    </row>
    <row r="56" spans="1:25" s="4" customFormat="1" ht="34.5" customHeight="1" x14ac:dyDescent="0.25">
      <c r="A56" s="69"/>
      <c r="B56" s="1"/>
      <c r="C56" s="3"/>
      <c r="D56" s="3"/>
      <c r="E56" s="1"/>
      <c r="F56" s="1"/>
      <c r="G56" s="1"/>
      <c r="H56" s="1"/>
      <c r="I56" s="1"/>
      <c r="J56" s="1"/>
      <c r="M56" s="16"/>
      <c r="N56" s="16"/>
      <c r="R56" s="6"/>
      <c r="S56" s="6"/>
      <c r="T56" s="6"/>
      <c r="U56" s="6"/>
      <c r="V56" s="6"/>
      <c r="W56" s="6"/>
      <c r="X56" s="6"/>
      <c r="Y56" s="6"/>
    </row>
    <row r="57" spans="1:25" s="4" customFormat="1" ht="13.5" customHeight="1" x14ac:dyDescent="0.25">
      <c r="A57" s="69"/>
      <c r="B57" s="1"/>
      <c r="C57" s="3"/>
      <c r="D57" s="3"/>
      <c r="E57" s="1"/>
      <c r="F57" s="1"/>
      <c r="G57" s="1"/>
      <c r="H57" s="1"/>
      <c r="I57" s="1"/>
      <c r="J57" s="1"/>
      <c r="M57" s="16"/>
      <c r="R57" s="6"/>
      <c r="S57" s="6"/>
      <c r="T57" s="6"/>
      <c r="U57" s="6"/>
      <c r="V57" s="6"/>
      <c r="W57" s="6"/>
      <c r="X57" s="6"/>
      <c r="Y57" s="6"/>
    </row>
    <row r="58" spans="1:25" s="4" customFormat="1" ht="11.25" customHeight="1" x14ac:dyDescent="0.25">
      <c r="A58" s="69"/>
      <c r="B58" s="1"/>
      <c r="C58" s="3"/>
      <c r="D58" s="3"/>
      <c r="E58" s="1"/>
      <c r="F58" s="1"/>
      <c r="G58" s="1"/>
      <c r="H58" s="1"/>
      <c r="I58" s="1"/>
      <c r="J58" s="1"/>
      <c r="R58" s="6"/>
      <c r="S58" s="6"/>
      <c r="T58" s="6"/>
      <c r="U58" s="6"/>
      <c r="V58" s="6"/>
      <c r="W58" s="6"/>
      <c r="X58" s="6"/>
      <c r="Y58" s="6"/>
    </row>
    <row r="59" spans="1:25" s="4" customFormat="1" ht="11.25" customHeight="1" x14ac:dyDescent="0.25">
      <c r="A59" s="69"/>
      <c r="B59" s="1"/>
      <c r="C59" s="3"/>
      <c r="D59" s="3"/>
      <c r="E59" s="1"/>
      <c r="F59" s="1"/>
      <c r="G59" s="1"/>
      <c r="H59" s="1"/>
      <c r="I59" s="1"/>
      <c r="J59" s="1"/>
      <c r="R59" s="6"/>
      <c r="S59" s="6"/>
      <c r="T59" s="6"/>
      <c r="U59" s="6"/>
      <c r="V59" s="6"/>
      <c r="W59" s="6"/>
      <c r="X59" s="6"/>
      <c r="Y59" s="6"/>
    </row>
    <row r="60" spans="1:25" s="4" customFormat="1" ht="11.25" customHeight="1" x14ac:dyDescent="0.25">
      <c r="A60" s="69"/>
      <c r="B60" s="1"/>
      <c r="C60" s="3"/>
      <c r="D60" s="3"/>
      <c r="E60" s="1"/>
      <c r="F60" s="1"/>
      <c r="G60" s="1"/>
      <c r="H60" s="1"/>
      <c r="I60" s="1"/>
      <c r="J60" s="1"/>
      <c r="R60" s="6"/>
      <c r="S60" s="6"/>
      <c r="T60" s="6"/>
      <c r="U60" s="6"/>
      <c r="V60" s="6"/>
      <c r="W60" s="6"/>
      <c r="X60" s="6"/>
      <c r="Y60" s="6"/>
    </row>
    <row r="61" spans="1:25" s="4" customFormat="1" ht="11.25" customHeight="1" x14ac:dyDescent="0.25">
      <c r="A61" s="69"/>
      <c r="B61" s="1"/>
      <c r="C61" s="3"/>
      <c r="D61" s="3"/>
      <c r="E61" s="1"/>
      <c r="F61" s="1"/>
      <c r="G61" s="1"/>
      <c r="H61" s="1"/>
      <c r="I61" s="1"/>
      <c r="J61" s="1"/>
      <c r="R61" s="6"/>
      <c r="S61" s="6"/>
      <c r="T61" s="6"/>
      <c r="U61" s="6"/>
      <c r="V61" s="6"/>
      <c r="W61" s="6"/>
      <c r="X61" s="6"/>
      <c r="Y61" s="6"/>
    </row>
    <row r="62" spans="1:25" s="4" customFormat="1" ht="11.25" customHeight="1" x14ac:dyDescent="0.25">
      <c r="A62" s="69"/>
      <c r="B62" s="1"/>
      <c r="C62" s="3"/>
      <c r="D62" s="3"/>
      <c r="E62" s="1"/>
      <c r="F62" s="1"/>
      <c r="G62" s="1"/>
      <c r="H62" s="1"/>
      <c r="I62" s="1"/>
      <c r="J62" s="1"/>
      <c r="R62" s="6"/>
      <c r="S62" s="6"/>
      <c r="T62" s="6"/>
      <c r="U62" s="6"/>
      <c r="V62" s="6"/>
      <c r="W62" s="6"/>
      <c r="X62" s="6"/>
      <c r="Y62" s="6"/>
    </row>
    <row r="63" spans="1:25" s="4" customFormat="1" ht="11.25" customHeight="1" x14ac:dyDescent="0.25">
      <c r="A63" s="69"/>
      <c r="B63" s="1"/>
      <c r="C63" s="3"/>
      <c r="D63" s="3"/>
      <c r="E63" s="1"/>
      <c r="F63" s="1"/>
      <c r="G63" s="1"/>
      <c r="H63" s="1"/>
      <c r="I63" s="1"/>
      <c r="J63" s="1"/>
      <c r="R63" s="6"/>
      <c r="S63" s="6"/>
      <c r="T63" s="6"/>
      <c r="U63" s="6"/>
      <c r="V63" s="6"/>
      <c r="W63" s="6"/>
      <c r="X63" s="6"/>
      <c r="Y63" s="6"/>
    </row>
    <row r="64" spans="1:25" s="4" customFormat="1" ht="11.25" customHeight="1" x14ac:dyDescent="0.25">
      <c r="A64" s="69"/>
      <c r="B64" s="1"/>
      <c r="C64" s="3"/>
      <c r="D64" s="3"/>
      <c r="E64" s="1"/>
      <c r="F64" s="1"/>
      <c r="G64" s="1"/>
      <c r="H64" s="1"/>
      <c r="I64" s="1"/>
      <c r="J64" s="1"/>
      <c r="R64" s="6"/>
      <c r="S64" s="6"/>
      <c r="T64" s="6"/>
      <c r="U64" s="6"/>
      <c r="V64" s="6"/>
      <c r="W64" s="6"/>
      <c r="X64" s="6"/>
      <c r="Y64" s="6"/>
    </row>
    <row r="65" spans="1:25" s="4" customFormat="1" ht="11.25" customHeight="1" x14ac:dyDescent="0.25">
      <c r="A65" s="69"/>
      <c r="B65" s="1"/>
      <c r="C65" s="3"/>
      <c r="D65" s="3"/>
      <c r="E65" s="1"/>
      <c r="F65" s="1"/>
      <c r="G65" s="1"/>
      <c r="H65" s="1"/>
      <c r="I65" s="1"/>
      <c r="J65" s="1"/>
      <c r="R65" s="6"/>
      <c r="S65" s="6"/>
      <c r="T65" s="6"/>
      <c r="U65" s="6"/>
      <c r="V65" s="6"/>
      <c r="W65" s="6"/>
      <c r="X65" s="6"/>
      <c r="Y65" s="6"/>
    </row>
    <row r="66" spans="1:25" s="4" customFormat="1" ht="11.25" customHeight="1" x14ac:dyDescent="0.25">
      <c r="A66" s="69"/>
      <c r="B66" s="1"/>
      <c r="C66" s="3"/>
      <c r="D66" s="3"/>
      <c r="E66" s="1"/>
      <c r="F66" s="1"/>
      <c r="G66" s="1"/>
      <c r="H66" s="1"/>
      <c r="I66" s="1"/>
      <c r="J66" s="1"/>
      <c r="R66" s="6"/>
      <c r="S66" s="6"/>
      <c r="T66" s="6"/>
      <c r="U66" s="6"/>
      <c r="V66" s="6"/>
      <c r="W66" s="6"/>
      <c r="X66" s="6"/>
      <c r="Y66" s="6"/>
    </row>
    <row r="67" spans="1:25" s="4" customFormat="1" ht="11.25" customHeight="1" x14ac:dyDescent="0.25">
      <c r="A67" s="69"/>
      <c r="B67" s="1"/>
      <c r="C67" s="3"/>
      <c r="D67" s="3"/>
      <c r="E67" s="1"/>
      <c r="F67" s="1"/>
      <c r="G67" s="1"/>
      <c r="H67" s="1"/>
      <c r="I67" s="1"/>
      <c r="J67" s="1"/>
      <c r="R67" s="6"/>
      <c r="S67" s="6"/>
      <c r="T67" s="6"/>
      <c r="U67" s="6"/>
      <c r="V67" s="6"/>
      <c r="W67" s="6"/>
      <c r="X67" s="6"/>
      <c r="Y67" s="6"/>
    </row>
    <row r="68" spans="1:25" s="4" customFormat="1" ht="11.25" customHeight="1" x14ac:dyDescent="0.25">
      <c r="A68" s="69"/>
      <c r="B68" s="1"/>
      <c r="C68" s="3"/>
      <c r="D68" s="3"/>
      <c r="E68" s="1"/>
      <c r="F68" s="1"/>
      <c r="G68" s="1"/>
      <c r="H68" s="1"/>
      <c r="I68" s="1"/>
      <c r="J68" s="1"/>
      <c r="R68" s="6"/>
      <c r="S68" s="6"/>
      <c r="T68" s="6"/>
      <c r="U68" s="6"/>
      <c r="V68" s="6"/>
      <c r="W68" s="6"/>
      <c r="X68" s="6"/>
      <c r="Y68" s="6"/>
    </row>
    <row r="69" spans="1:25" s="4" customFormat="1" ht="11.25" customHeight="1" x14ac:dyDescent="0.25">
      <c r="A69" s="69"/>
      <c r="B69" s="1"/>
      <c r="C69" s="3"/>
      <c r="D69" s="3"/>
      <c r="E69" s="1"/>
      <c r="F69" s="1"/>
      <c r="G69" s="1"/>
      <c r="H69" s="1"/>
      <c r="I69" s="1"/>
      <c r="J69" s="1"/>
      <c r="R69" s="6"/>
      <c r="S69" s="6"/>
      <c r="T69" s="6"/>
      <c r="U69" s="6"/>
      <c r="V69" s="6"/>
      <c r="W69" s="6"/>
      <c r="X69" s="6"/>
      <c r="Y69" s="6"/>
    </row>
    <row r="70" spans="1:25" s="4" customFormat="1" ht="11.25" customHeight="1" x14ac:dyDescent="0.25">
      <c r="A70" s="69"/>
      <c r="B70" s="1"/>
      <c r="C70" s="3"/>
      <c r="D70" s="3"/>
      <c r="E70" s="1"/>
      <c r="F70" s="1"/>
      <c r="G70" s="1"/>
      <c r="H70" s="1"/>
      <c r="I70" s="1"/>
      <c r="J70" s="1"/>
      <c r="R70" s="6"/>
      <c r="S70" s="6"/>
      <c r="T70" s="6"/>
      <c r="U70" s="6"/>
      <c r="V70" s="6"/>
      <c r="W70" s="6"/>
      <c r="X70" s="6"/>
      <c r="Y70" s="6"/>
    </row>
    <row r="71" spans="1:25" s="4" customFormat="1" ht="11.25" customHeight="1" x14ac:dyDescent="0.25">
      <c r="A71" s="69"/>
      <c r="B71" s="1"/>
      <c r="C71" s="3"/>
      <c r="D71" s="3"/>
      <c r="E71" s="1"/>
      <c r="F71" s="1"/>
      <c r="G71" s="1"/>
      <c r="H71" s="1"/>
      <c r="I71" s="1"/>
      <c r="J71" s="1"/>
      <c r="R71" s="6"/>
      <c r="S71" s="6"/>
      <c r="T71" s="6"/>
      <c r="U71" s="6"/>
      <c r="V71" s="6"/>
      <c r="W71" s="6"/>
      <c r="X71" s="6"/>
      <c r="Y71" s="6"/>
    </row>
    <row r="72" spans="1:25" s="4" customFormat="1" ht="11.25" customHeight="1" x14ac:dyDescent="0.25">
      <c r="A72" s="69"/>
      <c r="B72" s="1"/>
      <c r="C72" s="3"/>
      <c r="D72" s="3"/>
      <c r="E72" s="1"/>
      <c r="F72" s="1"/>
      <c r="G72" s="1"/>
      <c r="H72" s="1"/>
      <c r="I72" s="1"/>
      <c r="J72" s="1"/>
      <c r="R72" s="6"/>
      <c r="S72" s="6"/>
      <c r="T72" s="6"/>
      <c r="U72" s="6"/>
      <c r="V72" s="6"/>
      <c r="W72" s="6"/>
      <c r="X72" s="6"/>
      <c r="Y72" s="6"/>
    </row>
    <row r="73" spans="1:25" s="4" customFormat="1" ht="11.25" customHeight="1" x14ac:dyDescent="0.25">
      <c r="A73" s="69"/>
      <c r="B73" s="1"/>
      <c r="C73" s="3"/>
      <c r="D73" s="3"/>
      <c r="E73" s="1"/>
      <c r="F73" s="1"/>
      <c r="G73" s="1"/>
      <c r="H73" s="1"/>
      <c r="I73" s="1"/>
      <c r="J73" s="1"/>
      <c r="R73" s="6"/>
      <c r="S73" s="6"/>
      <c r="T73" s="6"/>
      <c r="U73" s="6"/>
      <c r="V73" s="6"/>
      <c r="W73" s="6"/>
      <c r="X73" s="6"/>
      <c r="Y73" s="6"/>
    </row>
    <row r="74" spans="1:25" s="4" customFormat="1" ht="11.25" customHeight="1" x14ac:dyDescent="0.25">
      <c r="A74" s="69"/>
      <c r="B74" s="1"/>
      <c r="C74" s="3"/>
      <c r="D74" s="3"/>
      <c r="E74" s="1"/>
      <c r="F74" s="1"/>
      <c r="G74" s="1"/>
      <c r="H74" s="1"/>
      <c r="I74" s="1"/>
      <c r="J74" s="1"/>
      <c r="R74" s="6"/>
      <c r="S74" s="6"/>
      <c r="T74" s="6"/>
      <c r="U74" s="6"/>
      <c r="V74" s="6"/>
      <c r="W74" s="6"/>
      <c r="X74" s="6"/>
      <c r="Y74" s="6"/>
    </row>
    <row r="75" spans="1:25" s="4" customFormat="1" ht="11.25" customHeight="1" x14ac:dyDescent="0.25">
      <c r="A75" s="69"/>
      <c r="B75" s="1"/>
      <c r="C75" s="3"/>
      <c r="D75" s="3"/>
      <c r="E75" s="1"/>
      <c r="F75" s="1"/>
      <c r="G75" s="1"/>
      <c r="H75" s="1"/>
      <c r="I75" s="1"/>
      <c r="J75" s="1"/>
      <c r="R75" s="6"/>
      <c r="S75" s="6"/>
      <c r="T75" s="6"/>
      <c r="U75" s="6"/>
      <c r="V75" s="6"/>
      <c r="W75" s="6"/>
      <c r="X75" s="6"/>
      <c r="Y75" s="6"/>
    </row>
    <row r="76" spans="1:25" s="4" customFormat="1" ht="11.25" customHeight="1" x14ac:dyDescent="0.25">
      <c r="A76" s="69"/>
      <c r="B76" s="1"/>
      <c r="C76" s="3"/>
      <c r="D76" s="3"/>
      <c r="E76" s="1"/>
      <c r="F76" s="1"/>
      <c r="G76" s="1"/>
      <c r="H76" s="1"/>
      <c r="I76" s="1"/>
      <c r="J76" s="1"/>
      <c r="R76" s="6"/>
      <c r="S76" s="6"/>
      <c r="T76" s="6"/>
      <c r="U76" s="6"/>
      <c r="V76" s="6"/>
      <c r="W76" s="6"/>
      <c r="X76" s="6"/>
      <c r="Y76" s="6"/>
    </row>
    <row r="77" spans="1:25" s="4" customFormat="1" ht="11.25" customHeight="1" x14ac:dyDescent="0.25">
      <c r="A77" s="69"/>
      <c r="B77" s="1"/>
      <c r="C77" s="3"/>
      <c r="D77" s="3"/>
      <c r="E77" s="1"/>
      <c r="F77" s="1"/>
      <c r="G77" s="1"/>
      <c r="H77" s="1"/>
      <c r="I77" s="1"/>
      <c r="J77" s="1"/>
      <c r="R77" s="6"/>
      <c r="S77" s="6"/>
      <c r="T77" s="6"/>
      <c r="U77" s="6"/>
      <c r="V77" s="6"/>
      <c r="W77" s="6"/>
      <c r="X77" s="6"/>
      <c r="Y77" s="6"/>
    </row>
    <row r="78" spans="1:25" s="4" customFormat="1" ht="11.25" customHeight="1" x14ac:dyDescent="0.25">
      <c r="A78" s="69"/>
      <c r="B78" s="1"/>
      <c r="C78" s="3"/>
      <c r="D78" s="3"/>
      <c r="E78" s="1"/>
      <c r="F78" s="1"/>
      <c r="G78" s="1"/>
      <c r="H78" s="1"/>
      <c r="I78" s="1"/>
      <c r="J78" s="1"/>
      <c r="R78" s="6"/>
      <c r="S78" s="6"/>
      <c r="T78" s="6"/>
      <c r="U78" s="6"/>
      <c r="V78" s="6"/>
      <c r="W78" s="6"/>
      <c r="X78" s="6"/>
      <c r="Y78" s="6"/>
    </row>
    <row r="79" spans="1:25" s="4" customFormat="1" ht="11.25" customHeight="1" x14ac:dyDescent="0.25">
      <c r="A79" s="69"/>
      <c r="B79" s="1"/>
      <c r="C79" s="3"/>
      <c r="D79" s="3"/>
      <c r="E79" s="1"/>
      <c r="F79" s="1"/>
      <c r="G79" s="1"/>
      <c r="H79" s="1"/>
      <c r="I79" s="1"/>
      <c r="J79" s="1"/>
      <c r="R79" s="6"/>
      <c r="S79" s="6"/>
      <c r="T79" s="6"/>
      <c r="U79" s="6"/>
      <c r="V79" s="6"/>
      <c r="W79" s="6"/>
      <c r="X79" s="6"/>
      <c r="Y79" s="6"/>
    </row>
    <row r="80" spans="1:25" s="4" customFormat="1" ht="11.25" customHeight="1" x14ac:dyDescent="0.25">
      <c r="A80" s="69"/>
      <c r="B80" s="1"/>
      <c r="C80" s="3"/>
      <c r="D80" s="3"/>
      <c r="E80" s="1"/>
      <c r="F80" s="1"/>
      <c r="G80" s="1"/>
      <c r="H80" s="1"/>
      <c r="I80" s="1"/>
      <c r="J80" s="1"/>
      <c r="R80" s="6"/>
      <c r="S80" s="6"/>
      <c r="T80" s="6"/>
      <c r="U80" s="6"/>
      <c r="V80" s="6"/>
      <c r="W80" s="6"/>
      <c r="X80" s="6"/>
      <c r="Y80" s="6"/>
    </row>
    <row r="81" spans="1:25" s="4" customFormat="1" ht="11.25" customHeight="1" x14ac:dyDescent="0.25">
      <c r="A81" s="69"/>
      <c r="B81" s="1"/>
      <c r="C81" s="3"/>
      <c r="D81" s="3"/>
      <c r="E81" s="1"/>
      <c r="F81" s="1"/>
      <c r="G81" s="1"/>
      <c r="H81" s="1"/>
      <c r="I81" s="1"/>
      <c r="J81" s="1"/>
      <c r="R81" s="6"/>
      <c r="S81" s="6"/>
      <c r="T81" s="6"/>
      <c r="U81" s="6"/>
      <c r="V81" s="6"/>
      <c r="W81" s="6"/>
      <c r="X81" s="6"/>
      <c r="Y81" s="6"/>
    </row>
    <row r="82" spans="1:25" s="4" customFormat="1" ht="11.25" customHeight="1" x14ac:dyDescent="0.25">
      <c r="A82" s="69"/>
      <c r="B82" s="1"/>
      <c r="C82" s="3"/>
      <c r="D82" s="3"/>
      <c r="E82" s="1"/>
      <c r="F82" s="1"/>
      <c r="G82" s="1"/>
      <c r="H82" s="1"/>
      <c r="I82" s="1"/>
      <c r="J82" s="1"/>
      <c r="R82" s="6"/>
      <c r="S82" s="6"/>
      <c r="T82" s="6"/>
      <c r="U82" s="6"/>
      <c r="V82" s="6"/>
      <c r="W82" s="6"/>
      <c r="X82" s="6"/>
      <c r="Y82" s="6"/>
    </row>
    <row r="83" spans="1:25" s="4" customFormat="1" ht="11.25" customHeight="1" x14ac:dyDescent="0.25">
      <c r="A83" s="69"/>
      <c r="B83" s="1"/>
      <c r="C83" s="3"/>
      <c r="D83" s="3"/>
      <c r="E83" s="1"/>
      <c r="F83" s="1"/>
      <c r="G83" s="1"/>
      <c r="H83" s="1"/>
      <c r="I83" s="1"/>
      <c r="J83" s="1"/>
      <c r="R83" s="6"/>
      <c r="S83" s="6"/>
      <c r="T83" s="6"/>
      <c r="U83" s="6"/>
      <c r="V83" s="6"/>
      <c r="W83" s="6"/>
      <c r="X83" s="6"/>
      <c r="Y83" s="6"/>
    </row>
    <row r="84" spans="1:25" s="4" customFormat="1" x14ac:dyDescent="0.25">
      <c r="A84" s="69"/>
      <c r="B84" s="1"/>
      <c r="C84" s="3"/>
      <c r="D84" s="3"/>
      <c r="E84" s="1"/>
      <c r="F84" s="1"/>
      <c r="G84" s="1"/>
      <c r="H84" s="1"/>
      <c r="I84" s="1"/>
      <c r="J84" s="1"/>
      <c r="R84" s="6"/>
      <c r="S84" s="6"/>
      <c r="T84" s="6"/>
      <c r="U84" s="6"/>
      <c r="V84" s="6"/>
      <c r="W84" s="6"/>
      <c r="X84" s="6"/>
      <c r="Y84" s="6"/>
    </row>
    <row r="85" spans="1:25" s="4" customFormat="1" x14ac:dyDescent="0.25">
      <c r="A85" s="69"/>
      <c r="B85" s="1"/>
      <c r="C85" s="3"/>
      <c r="D85" s="3"/>
      <c r="E85" s="1"/>
      <c r="F85" s="1"/>
      <c r="G85" s="1"/>
      <c r="H85" s="1"/>
      <c r="I85" s="1"/>
      <c r="J85" s="1"/>
      <c r="R85" s="6"/>
      <c r="S85" s="6"/>
      <c r="T85" s="6"/>
      <c r="U85" s="6"/>
      <c r="V85" s="6"/>
      <c r="W85" s="6"/>
      <c r="X85" s="6"/>
      <c r="Y85" s="6"/>
    </row>
    <row r="86" spans="1:25" s="4" customFormat="1" x14ac:dyDescent="0.25">
      <c r="A86" s="69"/>
      <c r="B86" s="1"/>
      <c r="C86" s="3"/>
      <c r="D86" s="3"/>
      <c r="E86" s="1"/>
      <c r="F86" s="1"/>
      <c r="G86" s="1"/>
      <c r="H86" s="1"/>
      <c r="I86" s="1"/>
      <c r="J86" s="1"/>
      <c r="R86" s="6"/>
      <c r="S86" s="6"/>
      <c r="T86" s="6"/>
      <c r="U86" s="6"/>
      <c r="V86" s="6"/>
      <c r="W86" s="6"/>
      <c r="X86" s="6"/>
      <c r="Y86" s="6"/>
    </row>
    <row r="87" spans="1:25" s="4" customFormat="1" x14ac:dyDescent="0.25">
      <c r="A87" s="69"/>
      <c r="B87" s="1"/>
      <c r="C87" s="3"/>
      <c r="D87" s="3"/>
      <c r="E87" s="1"/>
      <c r="F87" s="1"/>
      <c r="G87" s="1"/>
      <c r="H87" s="1"/>
      <c r="I87" s="1"/>
      <c r="J87" s="1"/>
      <c r="R87" s="6"/>
      <c r="S87" s="6"/>
      <c r="T87" s="6"/>
      <c r="U87" s="6"/>
      <c r="V87" s="6"/>
      <c r="W87" s="6"/>
      <c r="X87" s="6"/>
      <c r="Y87" s="6"/>
    </row>
    <row r="88" spans="1:25" s="4" customFormat="1" x14ac:dyDescent="0.25">
      <c r="A88" s="69"/>
      <c r="B88" s="1"/>
      <c r="C88" s="3"/>
      <c r="D88" s="3"/>
      <c r="E88" s="1"/>
      <c r="F88" s="1"/>
      <c r="G88" s="1"/>
      <c r="H88" s="1"/>
      <c r="I88" s="1"/>
      <c r="J88" s="1"/>
      <c r="R88" s="6"/>
      <c r="S88" s="6"/>
      <c r="T88" s="6"/>
      <c r="U88" s="6"/>
      <c r="V88" s="6"/>
      <c r="W88" s="6"/>
      <c r="X88" s="6"/>
      <c r="Y88" s="6"/>
    </row>
    <row r="89" spans="1:25" s="4" customFormat="1" x14ac:dyDescent="0.25">
      <c r="A89" s="69"/>
      <c r="B89" s="1"/>
      <c r="C89" s="3"/>
      <c r="D89" s="3"/>
      <c r="E89" s="1"/>
      <c r="F89" s="1"/>
      <c r="G89" s="1"/>
      <c r="H89" s="1"/>
      <c r="I89" s="1"/>
      <c r="J89" s="1"/>
      <c r="R89" s="6"/>
      <c r="S89" s="6"/>
      <c r="T89" s="6"/>
      <c r="U89" s="6"/>
      <c r="V89" s="6"/>
      <c r="W89" s="6"/>
      <c r="X89" s="6"/>
      <c r="Y89" s="6"/>
    </row>
    <row r="90" spans="1:25" s="4" customFormat="1" x14ac:dyDescent="0.25">
      <c r="A90" s="69"/>
      <c r="B90" s="1"/>
      <c r="C90" s="3"/>
      <c r="D90" s="3"/>
      <c r="E90" s="1"/>
      <c r="F90" s="1"/>
      <c r="G90" s="1"/>
      <c r="H90" s="1"/>
      <c r="I90" s="1"/>
      <c r="J90" s="1"/>
      <c r="R90" s="6"/>
      <c r="S90" s="6"/>
      <c r="T90" s="6"/>
      <c r="U90" s="6"/>
      <c r="V90" s="6"/>
      <c r="W90" s="6"/>
      <c r="X90" s="6"/>
      <c r="Y90" s="6"/>
    </row>
    <row r="91" spans="1:25" s="4" customFormat="1" x14ac:dyDescent="0.25">
      <c r="A91" s="69"/>
      <c r="B91" s="1"/>
      <c r="C91" s="3"/>
      <c r="D91" s="3"/>
      <c r="E91" s="1"/>
      <c r="F91" s="1"/>
      <c r="G91" s="1"/>
      <c r="H91" s="1"/>
      <c r="I91" s="1"/>
      <c r="J91" s="1"/>
      <c r="R91" s="6"/>
      <c r="S91" s="6"/>
      <c r="T91" s="6"/>
      <c r="U91" s="6"/>
      <c r="V91" s="6"/>
      <c r="W91" s="6"/>
      <c r="X91" s="6"/>
      <c r="Y91" s="6"/>
    </row>
    <row r="92" spans="1:25" s="4" customFormat="1" x14ac:dyDescent="0.25">
      <c r="A92" s="69"/>
      <c r="B92" s="1"/>
      <c r="C92" s="3"/>
      <c r="D92" s="3"/>
      <c r="E92" s="1"/>
      <c r="F92" s="1"/>
      <c r="G92" s="1"/>
      <c r="H92" s="1"/>
      <c r="I92" s="1"/>
      <c r="J92" s="1"/>
      <c r="R92" s="6"/>
      <c r="S92" s="6"/>
      <c r="T92" s="6"/>
      <c r="U92" s="6"/>
      <c r="V92" s="6"/>
      <c r="W92" s="6"/>
      <c r="X92" s="6"/>
      <c r="Y92" s="6"/>
    </row>
    <row r="93" spans="1:25" s="4" customFormat="1" x14ac:dyDescent="0.25">
      <c r="A93" s="69"/>
      <c r="B93" s="1"/>
      <c r="C93" s="3"/>
      <c r="D93" s="3"/>
      <c r="E93" s="1"/>
      <c r="F93" s="1"/>
      <c r="G93" s="1"/>
      <c r="H93" s="1"/>
      <c r="I93" s="1"/>
      <c r="J93" s="1"/>
      <c r="R93" s="6"/>
      <c r="S93" s="6"/>
      <c r="T93" s="6"/>
      <c r="U93" s="6"/>
      <c r="V93" s="6"/>
      <c r="W93" s="6"/>
      <c r="X93" s="6"/>
      <c r="Y93" s="6"/>
    </row>
    <row r="94" spans="1:25" s="4" customFormat="1" x14ac:dyDescent="0.25">
      <c r="A94" s="69"/>
      <c r="B94" s="1"/>
      <c r="C94" s="3"/>
      <c r="D94" s="3"/>
      <c r="E94" s="1"/>
      <c r="F94" s="1"/>
      <c r="G94" s="1"/>
      <c r="H94" s="1"/>
      <c r="I94" s="1"/>
      <c r="J94" s="1"/>
      <c r="R94" s="6"/>
      <c r="S94" s="6"/>
      <c r="T94" s="6"/>
      <c r="U94" s="6"/>
      <c r="V94" s="6"/>
      <c r="W94" s="6"/>
      <c r="X94" s="6"/>
      <c r="Y94" s="6"/>
    </row>
    <row r="95" spans="1:25" s="4" customFormat="1" x14ac:dyDescent="0.25">
      <c r="A95" s="69"/>
      <c r="B95" s="1"/>
      <c r="C95" s="3"/>
      <c r="D95" s="3"/>
      <c r="E95" s="1"/>
      <c r="F95" s="1"/>
      <c r="G95" s="1"/>
      <c r="H95" s="1"/>
      <c r="I95" s="1"/>
      <c r="J95" s="1"/>
      <c r="R95" s="6"/>
      <c r="S95" s="6"/>
      <c r="T95" s="6"/>
      <c r="U95" s="6"/>
      <c r="V95" s="6"/>
      <c r="W95" s="6"/>
      <c r="X95" s="6"/>
      <c r="Y95" s="6"/>
    </row>
    <row r="96" spans="1:25" s="4" customFormat="1" x14ac:dyDescent="0.25">
      <c r="A96" s="69"/>
      <c r="B96" s="1"/>
      <c r="C96" s="3"/>
      <c r="D96" s="3"/>
      <c r="E96" s="1"/>
      <c r="F96" s="1"/>
      <c r="G96" s="1"/>
      <c r="H96" s="1"/>
      <c r="I96" s="1"/>
      <c r="J96" s="1"/>
      <c r="R96" s="6"/>
      <c r="S96" s="6"/>
      <c r="T96" s="6"/>
      <c r="U96" s="6"/>
      <c r="V96" s="6"/>
      <c r="W96" s="6"/>
      <c r="X96" s="6"/>
      <c r="Y96" s="6"/>
    </row>
    <row r="97" spans="1:25" s="4" customFormat="1" x14ac:dyDescent="0.25">
      <c r="A97" s="69"/>
      <c r="B97" s="1"/>
      <c r="C97" s="3"/>
      <c r="D97" s="3"/>
      <c r="E97" s="1"/>
      <c r="F97" s="1"/>
      <c r="G97" s="1"/>
      <c r="H97" s="1"/>
      <c r="I97" s="1"/>
      <c r="J97" s="1"/>
      <c r="R97" s="6"/>
      <c r="S97" s="6"/>
      <c r="T97" s="6"/>
      <c r="U97" s="6"/>
      <c r="V97" s="6"/>
      <c r="W97" s="6"/>
      <c r="X97" s="6"/>
      <c r="Y97" s="6"/>
    </row>
    <row r="98" spans="1:25" s="4" customFormat="1" x14ac:dyDescent="0.25">
      <c r="A98" s="69"/>
      <c r="B98" s="1"/>
      <c r="C98" s="3"/>
      <c r="D98" s="3"/>
      <c r="E98" s="1"/>
      <c r="F98" s="1"/>
      <c r="G98" s="1"/>
      <c r="H98" s="1"/>
      <c r="I98" s="1"/>
      <c r="J98" s="1"/>
      <c r="R98" s="6"/>
      <c r="S98" s="6"/>
      <c r="T98" s="6"/>
      <c r="U98" s="6"/>
      <c r="V98" s="6"/>
      <c r="W98" s="6"/>
      <c r="X98" s="6"/>
      <c r="Y98" s="6"/>
    </row>
    <row r="99" spans="1:25" s="4" customFormat="1" x14ac:dyDescent="0.25">
      <c r="A99" s="69"/>
      <c r="B99" s="1"/>
      <c r="C99" s="3"/>
      <c r="D99" s="3"/>
      <c r="E99" s="1"/>
      <c r="F99" s="1"/>
      <c r="G99" s="1"/>
      <c r="H99" s="1"/>
      <c r="I99" s="1"/>
      <c r="J99" s="1"/>
      <c r="R99" s="6"/>
      <c r="S99" s="6"/>
      <c r="T99" s="6"/>
      <c r="U99" s="6"/>
      <c r="V99" s="6"/>
      <c r="W99" s="6"/>
      <c r="X99" s="6"/>
      <c r="Y99" s="6"/>
    </row>
    <row r="100" spans="1:25" s="4" customFormat="1" x14ac:dyDescent="0.25">
      <c r="A100" s="69"/>
      <c r="B100" s="1"/>
      <c r="C100" s="3"/>
      <c r="D100" s="3"/>
      <c r="E100" s="1"/>
      <c r="F100" s="1"/>
      <c r="G100" s="1"/>
      <c r="H100" s="1"/>
      <c r="I100" s="1"/>
      <c r="J100" s="1"/>
      <c r="R100" s="6"/>
      <c r="S100" s="6"/>
      <c r="T100" s="6"/>
      <c r="U100" s="6"/>
      <c r="V100" s="6"/>
      <c r="W100" s="6"/>
      <c r="X100" s="6"/>
      <c r="Y100" s="6"/>
    </row>
    <row r="101" spans="1:25" s="4" customFormat="1" x14ac:dyDescent="0.25">
      <c r="A101" s="69"/>
      <c r="B101" s="1"/>
      <c r="C101" s="3"/>
      <c r="D101" s="3"/>
      <c r="E101" s="1"/>
      <c r="F101" s="1"/>
      <c r="G101" s="1"/>
      <c r="H101" s="1"/>
      <c r="I101" s="1"/>
      <c r="J101" s="1"/>
      <c r="R101" s="6"/>
      <c r="S101" s="6"/>
      <c r="T101" s="6"/>
      <c r="U101" s="6"/>
      <c r="V101" s="6"/>
      <c r="W101" s="6"/>
      <c r="X101" s="6"/>
      <c r="Y101" s="6"/>
    </row>
    <row r="102" spans="1:25" s="4" customFormat="1" x14ac:dyDescent="0.25">
      <c r="A102" s="69"/>
      <c r="B102" s="1"/>
      <c r="C102" s="3"/>
      <c r="D102" s="3"/>
      <c r="E102" s="1"/>
      <c r="F102" s="1"/>
      <c r="G102" s="1"/>
      <c r="H102" s="1"/>
      <c r="I102" s="1"/>
      <c r="J102" s="1"/>
      <c r="R102" s="6"/>
      <c r="S102" s="6"/>
      <c r="T102" s="6"/>
      <c r="U102" s="6"/>
      <c r="V102" s="6"/>
      <c r="W102" s="6"/>
      <c r="X102" s="6"/>
      <c r="Y102" s="6"/>
    </row>
    <row r="103" spans="1:25" s="4" customFormat="1" x14ac:dyDescent="0.25">
      <c r="A103" s="69"/>
      <c r="B103" s="1"/>
      <c r="C103" s="3"/>
      <c r="D103" s="3"/>
      <c r="E103" s="1"/>
      <c r="F103" s="1"/>
      <c r="G103" s="1"/>
      <c r="H103" s="1"/>
      <c r="I103" s="1"/>
      <c r="J103" s="1"/>
      <c r="R103" s="6"/>
      <c r="S103" s="6"/>
      <c r="T103" s="6"/>
      <c r="U103" s="6"/>
      <c r="V103" s="6"/>
      <c r="W103" s="6"/>
      <c r="X103" s="6"/>
      <c r="Y103" s="6"/>
    </row>
    <row r="104" spans="1:25" s="4" customFormat="1" x14ac:dyDescent="0.25">
      <c r="A104" s="69"/>
      <c r="B104" s="1"/>
      <c r="C104" s="3"/>
      <c r="D104" s="3"/>
      <c r="E104" s="1"/>
      <c r="F104" s="1"/>
      <c r="G104" s="1"/>
      <c r="H104" s="1"/>
      <c r="I104" s="1"/>
      <c r="J104" s="1"/>
      <c r="R104" s="6"/>
      <c r="S104" s="6"/>
      <c r="T104" s="6"/>
      <c r="U104" s="6"/>
      <c r="V104" s="6"/>
      <c r="W104" s="6"/>
      <c r="X104" s="6"/>
      <c r="Y104" s="6"/>
    </row>
    <row r="105" spans="1:25" s="4" customFormat="1" x14ac:dyDescent="0.25">
      <c r="A105" s="69"/>
      <c r="B105" s="1"/>
      <c r="C105" s="3"/>
      <c r="D105" s="3"/>
      <c r="E105" s="1"/>
      <c r="F105" s="1"/>
      <c r="G105" s="1"/>
      <c r="H105" s="1"/>
      <c r="I105" s="1"/>
      <c r="J105" s="1"/>
      <c r="R105" s="6"/>
      <c r="S105" s="6"/>
      <c r="T105" s="6"/>
      <c r="U105" s="6"/>
      <c r="V105" s="6"/>
      <c r="W105" s="6"/>
      <c r="X105" s="6"/>
      <c r="Y105" s="6"/>
    </row>
    <row r="106" spans="1:25" s="4" customFormat="1" x14ac:dyDescent="0.25">
      <c r="A106" s="69"/>
      <c r="B106" s="1"/>
      <c r="C106" s="3"/>
      <c r="D106" s="3"/>
      <c r="E106" s="1"/>
      <c r="F106" s="1"/>
      <c r="G106" s="1"/>
      <c r="H106" s="1"/>
      <c r="I106" s="1"/>
      <c r="J106" s="1"/>
      <c r="R106" s="6"/>
      <c r="S106" s="6"/>
      <c r="T106" s="6"/>
      <c r="U106" s="6"/>
      <c r="V106" s="6"/>
      <c r="W106" s="6"/>
      <c r="X106" s="6"/>
      <c r="Y106" s="6"/>
    </row>
    <row r="107" spans="1:25" s="4" customFormat="1" x14ac:dyDescent="0.25">
      <c r="A107" s="69"/>
      <c r="B107" s="1"/>
      <c r="C107" s="3"/>
      <c r="D107" s="3"/>
      <c r="E107" s="1"/>
      <c r="F107" s="1"/>
      <c r="G107" s="1"/>
      <c r="H107" s="1"/>
      <c r="I107" s="1"/>
      <c r="J107" s="1"/>
      <c r="R107" s="6"/>
      <c r="S107" s="6"/>
      <c r="T107" s="6"/>
      <c r="U107" s="6"/>
      <c r="V107" s="6"/>
      <c r="W107" s="6"/>
      <c r="X107" s="6"/>
      <c r="Y107" s="6"/>
    </row>
    <row r="108" spans="1:25" s="4" customFormat="1" x14ac:dyDescent="0.25">
      <c r="A108" s="69"/>
      <c r="B108" s="1"/>
      <c r="C108" s="3"/>
      <c r="D108" s="3"/>
      <c r="E108" s="1"/>
      <c r="F108" s="1"/>
      <c r="G108" s="1"/>
      <c r="H108" s="1"/>
      <c r="I108" s="1"/>
      <c r="J108" s="1"/>
      <c r="R108" s="6"/>
      <c r="S108" s="6"/>
      <c r="T108" s="6"/>
      <c r="U108" s="6"/>
      <c r="V108" s="6"/>
      <c r="W108" s="6"/>
      <c r="X108" s="6"/>
      <c r="Y108" s="6"/>
    </row>
    <row r="109" spans="1:25" s="4" customFormat="1" x14ac:dyDescent="0.25">
      <c r="A109" s="69"/>
      <c r="B109" s="1"/>
      <c r="C109" s="3"/>
      <c r="D109" s="3"/>
      <c r="E109" s="1"/>
      <c r="F109" s="1"/>
      <c r="G109" s="1"/>
      <c r="H109" s="1"/>
      <c r="I109" s="1"/>
      <c r="J109" s="1"/>
      <c r="R109" s="6"/>
      <c r="S109" s="6"/>
      <c r="T109" s="6"/>
      <c r="U109" s="6"/>
      <c r="V109" s="6"/>
      <c r="W109" s="6"/>
      <c r="X109" s="6"/>
      <c r="Y109" s="6"/>
    </row>
    <row r="110" spans="1:25" s="4" customFormat="1" x14ac:dyDescent="0.25">
      <c r="A110" s="69"/>
      <c r="B110" s="1"/>
      <c r="C110" s="3"/>
      <c r="D110" s="3"/>
      <c r="E110" s="1"/>
      <c r="F110" s="1"/>
      <c r="G110" s="1"/>
      <c r="H110" s="1"/>
      <c r="I110" s="1"/>
      <c r="J110" s="1"/>
      <c r="R110" s="6"/>
      <c r="S110" s="6"/>
      <c r="T110" s="6"/>
      <c r="U110" s="6"/>
      <c r="V110" s="6"/>
      <c r="W110" s="6"/>
      <c r="X110" s="6"/>
      <c r="Y110" s="6"/>
    </row>
    <row r="111" spans="1:25" s="4" customFormat="1" x14ac:dyDescent="0.25">
      <c r="A111" s="69"/>
      <c r="B111" s="1"/>
      <c r="C111" s="3"/>
      <c r="D111" s="3"/>
      <c r="E111" s="1"/>
      <c r="F111" s="1"/>
      <c r="G111" s="1"/>
      <c r="H111" s="1"/>
      <c r="I111" s="1"/>
      <c r="J111" s="1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K112" s="4"/>
      <c r="L112" s="4"/>
      <c r="M112" s="4"/>
      <c r="N112" s="4"/>
    </row>
    <row r="113" spans="11:13" x14ac:dyDescent="0.25">
      <c r="K113" s="4"/>
      <c r="L113" s="4"/>
      <c r="M113" s="4"/>
    </row>
    <row r="114" spans="11:13" x14ac:dyDescent="0.25">
      <c r="K114" s="4"/>
      <c r="L114" s="4"/>
    </row>
  </sheetData>
  <mergeCells count="16">
    <mergeCell ref="E29:F34"/>
    <mergeCell ref="M32:N36"/>
    <mergeCell ref="C36:D36"/>
    <mergeCell ref="E21:F21"/>
    <mergeCell ref="D22:F23"/>
    <mergeCell ref="G22:H22"/>
    <mergeCell ref="G23:I24"/>
    <mergeCell ref="G25:G26"/>
    <mergeCell ref="H25:H26"/>
    <mergeCell ref="I25:I26"/>
    <mergeCell ref="D20:E20"/>
    <mergeCell ref="I1:L1"/>
    <mergeCell ref="C8:D8"/>
    <mergeCell ref="F9:F10"/>
    <mergeCell ref="I9:I10"/>
    <mergeCell ref="D11:E12"/>
  </mergeCells>
  <conditionalFormatting sqref="C3:C6">
    <cfRule type="expression" dxfId="179" priority="39">
      <formula>IF($A$2=0,1,0)</formula>
    </cfRule>
  </conditionalFormatting>
  <conditionalFormatting sqref="C9:C13">
    <cfRule type="expression" dxfId="178" priority="21">
      <formula>IF($A$7=0,1,0)</formula>
    </cfRule>
  </conditionalFormatting>
  <conditionalFormatting sqref="C11">
    <cfRule type="expression" dxfId="177" priority="11">
      <formula>IF(AND(ISNUMBER(C11),OR(C11&lt;J17,C11&gt;J18)),1,0)</formula>
    </cfRule>
    <cfRule type="expression" dxfId="176" priority="12">
      <formula>IF(AND(ISNUMBER($C11),OR(C11&lt;J19,C11&gt;J20)),1,0)</formula>
    </cfRule>
  </conditionalFormatting>
  <conditionalFormatting sqref="C11:C13">
    <cfRule type="expression" dxfId="175" priority="34">
      <formula>IF(ISBLANK(C11),0,IF(A11&gt;0,1,0))</formula>
    </cfRule>
  </conditionalFormatting>
  <conditionalFormatting sqref="C17:C23">
    <cfRule type="expression" dxfId="174" priority="22">
      <formula>IF($A$14=0,1,0)</formula>
    </cfRule>
  </conditionalFormatting>
  <conditionalFormatting sqref="C20">
    <cfRule type="expression" dxfId="173" priority="33">
      <formula>IF(ISBLANK(C20),0,IF(A20&gt;0,1,0))</formula>
    </cfRule>
  </conditionalFormatting>
  <conditionalFormatting sqref="C27">
    <cfRule type="expression" dxfId="172" priority="15">
      <formula>IF($C$27&lt;MAX(D27:E27),1,0)</formula>
    </cfRule>
  </conditionalFormatting>
  <conditionalFormatting sqref="C29:C34">
    <cfRule type="expression" dxfId="171" priority="40">
      <formula>IF($A$24=0,1,0)</formula>
    </cfRule>
  </conditionalFormatting>
  <conditionalFormatting sqref="C31">
    <cfRule type="expression" dxfId="170" priority="29">
      <formula>IF(ISBLANK(C31),0,IF(A31&gt;0,1,0))</formula>
    </cfRule>
  </conditionalFormatting>
  <conditionalFormatting sqref="C34">
    <cfRule type="expression" dxfId="169" priority="28">
      <formula>IF(ISBLANK(C34),0,IF(A34&gt;0,1,0))</formula>
    </cfRule>
  </conditionalFormatting>
  <conditionalFormatting sqref="C8:D8">
    <cfRule type="expression" dxfId="168" priority="38">
      <formula>IF($A$7=0,1,0)</formula>
    </cfRule>
  </conditionalFormatting>
  <conditionalFormatting sqref="C15:D15">
    <cfRule type="expression" dxfId="167" priority="36">
      <formula>IF(OR(ISBLANK($C15),ISBLANK($D15)),0,IF(OR(C15&lt;2,C15&gt;30),1,0))</formula>
    </cfRule>
  </conditionalFormatting>
  <conditionalFormatting sqref="C15:D16">
    <cfRule type="expression" dxfId="166" priority="8">
      <formula>IF($A$14=0,1,0)</formula>
    </cfRule>
  </conditionalFormatting>
  <conditionalFormatting sqref="C16:D16">
    <cfRule type="expression" dxfId="165" priority="9">
      <formula>IF(OR(ISBLANK($C16),ISBLANK($D16)),0,IF(OR(C16&lt;15,C16&gt;100),1,0))</formula>
    </cfRule>
  </conditionalFormatting>
  <conditionalFormatting sqref="C36:D36">
    <cfRule type="expression" dxfId="164" priority="27">
      <formula>IF(A36=0,1,0)</formula>
    </cfRule>
  </conditionalFormatting>
  <conditionalFormatting sqref="C26:E27">
    <cfRule type="cellIs" dxfId="163" priority="6" operator="greaterThan">
      <formula>100</formula>
    </cfRule>
  </conditionalFormatting>
  <conditionalFormatting sqref="C26:E28">
    <cfRule type="expression" dxfId="162" priority="7">
      <formula>IF($A$24=0,1,0)</formula>
    </cfRule>
  </conditionalFormatting>
  <conditionalFormatting sqref="C28:E28">
    <cfRule type="cellIs" dxfId="161" priority="30" operator="greaterThan">
      <formula>400</formula>
    </cfRule>
  </conditionalFormatting>
  <conditionalFormatting sqref="D11">
    <cfRule type="expression" dxfId="160" priority="10">
      <formula>IF(AND(ISNUMBER(C11),OR(C11&lt;J17,C11&gt;J18)),1,0)</formula>
    </cfRule>
  </conditionalFormatting>
  <conditionalFormatting sqref="D18">
    <cfRule type="expression" dxfId="159" priority="19">
      <formula>IF($A14=0,1,0)</formula>
    </cfRule>
  </conditionalFormatting>
  <conditionalFormatting sqref="D26">
    <cfRule type="expression" dxfId="158" priority="3">
      <formula>IF(AND(ISNUMBER(D26),F26=0,C26-D26&gt;10),1,0)</formula>
    </cfRule>
    <cfRule type="expression" dxfId="157" priority="5">
      <formula>IF(D26&gt;C26,1,0)</formula>
    </cfRule>
  </conditionalFormatting>
  <conditionalFormatting sqref="D28">
    <cfRule type="expression" dxfId="156" priority="25">
      <formula>IF(D28&gt;C28,1,0)</formula>
    </cfRule>
  </conditionalFormatting>
  <conditionalFormatting sqref="D19:E19">
    <cfRule type="expression" dxfId="155" priority="35">
      <formula>IF($A$14=0,1,0)</formula>
    </cfRule>
  </conditionalFormatting>
  <conditionalFormatting sqref="E18">
    <cfRule type="expression" dxfId="154" priority="18">
      <formula>IF(A14=0,1,0)</formula>
    </cfRule>
    <cfRule type="expression" dxfId="153" priority="17" stopIfTrue="1">
      <formula>IF(E18&lt;MAX(C18:D18),1,0)</formula>
    </cfRule>
  </conditionalFormatting>
  <conditionalFormatting sqref="E26">
    <cfRule type="expression" dxfId="152" priority="2">
      <formula>IF(AND(ISNUMBER(E26),F26=0,E26-C26&gt;10),1,0)</formula>
    </cfRule>
    <cfRule type="expression" dxfId="151" priority="4">
      <formula>IF(AND(ISNUMBER(E26),OR(E26&lt;D26,E26&lt;C26)),1,0)</formula>
    </cfRule>
  </conditionalFormatting>
  <conditionalFormatting sqref="E28">
    <cfRule type="expression" dxfId="150" priority="24">
      <formula>IF(AND(ISNUMBER(E28),OR(E28&lt;C28,E28&lt;D28)),1,0)</formula>
    </cfRule>
  </conditionalFormatting>
  <conditionalFormatting sqref="E21:F21">
    <cfRule type="containsBlanks" dxfId="149" priority="1">
      <formula>LEN(TRIM(E21))=0</formula>
    </cfRule>
  </conditionalFormatting>
  <conditionalFormatting sqref="E29:F34">
    <cfRule type="containsErrors" dxfId="148" priority="23">
      <formula>ISERROR(E29)</formula>
    </cfRule>
    <cfRule type="expression" dxfId="147" priority="26">
      <formula>IF(E29=" ",0,1)</formula>
    </cfRule>
  </conditionalFormatting>
  <conditionalFormatting sqref="F7:F8 C9 F11">
    <cfRule type="containsErrors" dxfId="146" priority="37">
      <formula>ISERROR(C7)</formula>
    </cfRule>
  </conditionalFormatting>
  <conditionalFormatting sqref="J17:J20">
    <cfRule type="containsErrors" dxfId="145" priority="13">
      <formula>ISERROR(J17)</formula>
    </cfRule>
  </conditionalFormatting>
  <dataValidations count="7">
    <dataValidation type="list" allowBlank="1" showInputMessage="1" showErrorMessage="1" sqref="C8">
      <formula1>$G$27:$G$36</formula1>
    </dataValidation>
    <dataValidation type="list" allowBlank="1" showInputMessage="1" showErrorMessage="1" sqref="C19:E19">
      <formula1>$G$5:$G$20</formula1>
    </dataValidation>
    <dataValidation type="list" allowBlank="1" showInputMessage="1" showErrorMessage="1" sqref="C21:C22">
      <formula1>$H$5:$H$11</formula1>
    </dataValidation>
    <dataValidation type="list" allowBlank="1" showInputMessage="1" showErrorMessage="1" sqref="C23">
      <formula1>$H$13:$H$15</formula1>
    </dataValidation>
    <dataValidation type="list" allowBlank="1" showInputMessage="1" showErrorMessage="1" sqref="C30">
      <formula1>$H$18:$H$20</formula1>
    </dataValidation>
    <dataValidation type="list" allowBlank="1" showInputMessage="1" showErrorMessage="1" sqref="C33">
      <formula1>$I$5:$I$7</formula1>
    </dataValidation>
    <dataValidation type="list" allowBlank="1" showInputMessage="1" showErrorMessage="1" sqref="C10">
      <formula1>$I$11:$I$15</formula1>
    </dataValidation>
  </dataValidations>
  <pageMargins left="0.55118110236220474" right="0.19685039370078741" top="0.61" bottom="0.15748031496062992" header="0.19685039370078741" footer="0.11811023622047245"/>
  <pageSetup paperSize="9" orientation="landscape" verticalDpi="1200" r:id="rId1"/>
  <headerFooter alignWithMargins="0">
    <oddHeader>&amp;L&amp;F Flik 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CD114"/>
  <sheetViews>
    <sheetView topLeftCell="B1" zoomScale="130" zoomScaleNormal="130" workbookViewId="0">
      <selection activeCell="B1" sqref="B1"/>
    </sheetView>
  </sheetViews>
  <sheetFormatPr defaultColWidth="9.140625" defaultRowHeight="16.5" x14ac:dyDescent="0.25"/>
  <cols>
    <col min="1" max="1" width="9.140625" style="69" hidden="1" customWidth="1"/>
    <col min="2" max="2" width="26.42578125" style="1" customWidth="1"/>
    <col min="3" max="3" width="10.28515625" style="3" customWidth="1"/>
    <col min="4" max="4" width="9.5703125" style="3" customWidth="1"/>
    <col min="5" max="5" width="9.5703125" style="1" customWidth="1"/>
    <col min="6" max="6" width="9.42578125" style="1" customWidth="1"/>
    <col min="7" max="9" width="9.5703125" style="1" customWidth="1"/>
    <col min="10" max="10" width="8.85546875" style="1" customWidth="1"/>
    <col min="11" max="11" width="3.7109375" style="1" customWidth="1"/>
    <col min="12" max="12" width="13.42578125" style="1" customWidth="1"/>
    <col min="13" max="13" width="3.28515625" style="1" customWidth="1"/>
    <col min="14" max="14" width="13" style="1" customWidth="1"/>
    <col min="15" max="15" width="9.140625" style="1" customWidth="1"/>
    <col min="16" max="17" width="9.140625" style="1" hidden="1" customWidth="1"/>
    <col min="18" max="25" width="9.140625" style="3"/>
    <col min="26" max="16384" width="9.140625" style="1"/>
  </cols>
  <sheetData>
    <row r="1" spans="1:25" x14ac:dyDescent="0.25">
      <c r="A1" s="62">
        <f>IF(AND(A2&gt;0,A2&lt;3),1,0)+IF(AND(A7&gt;0,A7&lt;5),10,0)+IF(AND(A14&gt;0,A14&lt;5),100,0)+IF(AND(A24&gt;0,A24&lt;8),1000,0)</f>
        <v>0</v>
      </c>
      <c r="B1" s="63" t="s">
        <v>192</v>
      </c>
      <c r="C1" s="64" t="s">
        <v>196</v>
      </c>
      <c r="D1" s="65" t="s">
        <v>1</v>
      </c>
      <c r="E1" s="66"/>
      <c r="F1" s="67" t="s">
        <v>3</v>
      </c>
      <c r="G1" s="68"/>
      <c r="H1" s="68" t="s">
        <v>4</v>
      </c>
      <c r="I1" s="156"/>
      <c r="J1" s="157"/>
      <c r="K1" s="157"/>
      <c r="L1" s="158"/>
    </row>
    <row r="2" spans="1:25" ht="15" customHeight="1" x14ac:dyDescent="0.25">
      <c r="A2" s="69">
        <f>COUNTBLANK(C3:C6)</f>
        <v>0</v>
      </c>
      <c r="B2" s="58" t="s">
        <v>6</v>
      </c>
      <c r="C2" s="6"/>
      <c r="E2" s="6" t="s">
        <v>193</v>
      </c>
      <c r="P2" s="70">
        <v>1</v>
      </c>
      <c r="Q2" s="70" t="s">
        <v>7</v>
      </c>
    </row>
    <row r="3" spans="1:25" ht="15" customHeight="1" x14ac:dyDescent="0.25">
      <c r="A3" s="71">
        <f>SUM(A2,A7,A14,A24,A36)</f>
        <v>0</v>
      </c>
      <c r="B3" s="72" t="s">
        <v>8</v>
      </c>
      <c r="C3" s="73">
        <v>45036</v>
      </c>
      <c r="G3" s="74" t="s">
        <v>9</v>
      </c>
      <c r="H3" s="75"/>
      <c r="I3" s="76"/>
      <c r="L3" s="1" t="str">
        <f>"Ogräs graderas i flik Og"&amp;RIGHT(C1,1)&amp;"."</f>
        <v>Ogräs graderas i flik Og3.</v>
      </c>
      <c r="P3" s="70">
        <v>10</v>
      </c>
      <c r="Q3" s="70" t="s">
        <v>10</v>
      </c>
    </row>
    <row r="4" spans="1:25" ht="15" customHeight="1" x14ac:dyDescent="0.25">
      <c r="B4" s="72" t="s">
        <v>11</v>
      </c>
      <c r="C4" s="77">
        <v>0.45833333333333331</v>
      </c>
      <c r="G4" s="78" t="s">
        <v>12</v>
      </c>
      <c r="H4" s="79" t="s">
        <v>13</v>
      </c>
      <c r="I4" s="80" t="s">
        <v>14</v>
      </c>
      <c r="K4" s="81"/>
      <c r="L4" s="82"/>
      <c r="M4" s="83"/>
      <c r="N4" s="84"/>
      <c r="P4" s="70">
        <v>11</v>
      </c>
      <c r="Q4" s="70" t="s">
        <v>15</v>
      </c>
    </row>
    <row r="5" spans="1:25" ht="15" customHeight="1" x14ac:dyDescent="0.25">
      <c r="B5" s="72" t="s">
        <v>16</v>
      </c>
      <c r="C5" s="77">
        <v>0.47916666666666669</v>
      </c>
      <c r="G5" s="85" t="s">
        <v>17</v>
      </c>
      <c r="H5" s="86" t="s">
        <v>18</v>
      </c>
      <c r="I5" s="87" t="s">
        <v>19</v>
      </c>
      <c r="K5" s="88" t="s">
        <v>20</v>
      </c>
      <c r="L5" s="59"/>
      <c r="N5" s="89"/>
      <c r="P5" s="70">
        <v>100</v>
      </c>
      <c r="Q5" s="70" t="s">
        <v>21</v>
      </c>
    </row>
    <row r="6" spans="1:25" s="69" customFormat="1" ht="15" customHeight="1" x14ac:dyDescent="0.25">
      <c r="B6" s="72" t="s">
        <v>22</v>
      </c>
      <c r="C6" s="90" t="s">
        <v>197</v>
      </c>
      <c r="D6" s="3"/>
      <c r="E6" s="91" t="str">
        <f>"("&amp;[1]PM!BA40&amp;")"</f>
        <v>(2,3,4,5,6,7,)</v>
      </c>
      <c r="G6" s="85" t="s">
        <v>24</v>
      </c>
      <c r="H6" s="86" t="s">
        <v>25</v>
      </c>
      <c r="I6" s="87" t="s">
        <v>26</v>
      </c>
      <c r="K6" s="92" t="s">
        <v>27</v>
      </c>
      <c r="L6" s="93"/>
      <c r="M6" s="55" t="s">
        <v>28</v>
      </c>
      <c r="N6" s="52"/>
      <c r="P6" s="70">
        <v>101</v>
      </c>
      <c r="Q6" s="70" t="s">
        <v>29</v>
      </c>
      <c r="R6" s="94"/>
      <c r="S6" s="94"/>
      <c r="T6" s="94"/>
      <c r="U6" s="94"/>
      <c r="V6" s="94"/>
      <c r="W6" s="94"/>
      <c r="X6" s="94"/>
      <c r="Y6" s="94"/>
    </row>
    <row r="7" spans="1:25" ht="15" customHeight="1" x14ac:dyDescent="0.25">
      <c r="A7" s="69">
        <f>COUNTBLANK(C11:C13)+COUNTBLANK(C8)+SUM(A10:A13)</f>
        <v>0</v>
      </c>
      <c r="B7" s="58" t="s">
        <v>30</v>
      </c>
      <c r="D7" s="69"/>
      <c r="F7" s="95">
        <f>VLOOKUP(C8,G27:I36,3,0)</f>
        <v>46</v>
      </c>
      <c r="G7" s="85" t="s">
        <v>31</v>
      </c>
      <c r="H7" s="86" t="s">
        <v>32</v>
      </c>
      <c r="I7" s="87" t="s">
        <v>33</v>
      </c>
      <c r="K7" s="96" t="s">
        <v>34</v>
      </c>
      <c r="L7" s="97" t="s">
        <v>35</v>
      </c>
      <c r="M7" s="41" t="s">
        <v>34</v>
      </c>
      <c r="N7" s="98" t="s">
        <v>35</v>
      </c>
      <c r="P7" s="70">
        <v>110</v>
      </c>
      <c r="Q7" s="70" t="s">
        <v>36</v>
      </c>
      <c r="S7" s="99"/>
    </row>
    <row r="8" spans="1:25" s="4" customFormat="1" ht="15" customHeight="1" x14ac:dyDescent="0.2">
      <c r="B8" s="72" t="s">
        <v>37</v>
      </c>
      <c r="C8" s="159" t="s">
        <v>198</v>
      </c>
      <c r="D8" s="159"/>
      <c r="F8" s="100">
        <f>VLOOKUP(C10,I11:J15,2,0)</f>
        <v>0.76616910623580237</v>
      </c>
      <c r="G8" s="85" t="s">
        <v>39</v>
      </c>
      <c r="H8" s="86" t="s">
        <v>40</v>
      </c>
      <c r="I8" s="16"/>
      <c r="J8" s="101" t="s">
        <v>41</v>
      </c>
      <c r="K8" s="96" t="s">
        <v>42</v>
      </c>
      <c r="L8" s="102" t="s">
        <v>43</v>
      </c>
      <c r="M8" s="41" t="s">
        <v>42</v>
      </c>
      <c r="N8" s="98" t="s">
        <v>43</v>
      </c>
      <c r="P8" s="70">
        <v>111</v>
      </c>
      <c r="Q8" s="70" t="s">
        <v>44</v>
      </c>
      <c r="R8" s="6"/>
      <c r="S8" s="99"/>
      <c r="T8" s="6"/>
      <c r="U8" s="6"/>
      <c r="V8" s="6"/>
      <c r="W8" s="6"/>
      <c r="X8" s="6"/>
      <c r="Y8" s="6"/>
    </row>
    <row r="9" spans="1:25" ht="15" customHeight="1" x14ac:dyDescent="0.25">
      <c r="B9" s="72" t="s">
        <v>45</v>
      </c>
      <c r="C9" s="103" t="str">
        <f>VLOOKUP(C8,G27:H36,2,0)</f>
        <v>HSE 3.1</v>
      </c>
      <c r="D9" s="5"/>
      <c r="F9" s="160" t="s">
        <v>46</v>
      </c>
      <c r="G9" s="85" t="s">
        <v>47</v>
      </c>
      <c r="H9" s="86" t="s">
        <v>48</v>
      </c>
      <c r="I9" s="161" t="s">
        <v>49</v>
      </c>
      <c r="J9" s="104">
        <v>0.1</v>
      </c>
      <c r="K9" s="96" t="s">
        <v>50</v>
      </c>
      <c r="L9" s="102" t="s">
        <v>51</v>
      </c>
      <c r="M9" s="41" t="s">
        <v>50</v>
      </c>
      <c r="N9" s="98" t="s">
        <v>51</v>
      </c>
      <c r="P9" s="70">
        <v>1000</v>
      </c>
      <c r="Q9" s="70" t="s">
        <v>52</v>
      </c>
      <c r="S9" s="99"/>
    </row>
    <row r="10" spans="1:25" ht="15" customHeight="1" x14ac:dyDescent="0.25">
      <c r="A10" s="69">
        <f>IF(ISBLANK(C10),1,0)</f>
        <v>0</v>
      </c>
      <c r="B10" s="72" t="s">
        <v>53</v>
      </c>
      <c r="C10" s="105" t="s">
        <v>54</v>
      </c>
      <c r="D10" s="106"/>
      <c r="F10" s="160"/>
      <c r="G10" s="85" t="s">
        <v>55</v>
      </c>
      <c r="H10" s="86" t="s">
        <v>56</v>
      </c>
      <c r="I10" s="162"/>
      <c r="J10" s="101" t="s">
        <v>57</v>
      </c>
      <c r="K10" s="96" t="s">
        <v>58</v>
      </c>
      <c r="L10" s="97" t="s">
        <v>59</v>
      </c>
      <c r="M10" s="41" t="s">
        <v>58</v>
      </c>
      <c r="N10" s="37" t="s">
        <v>60</v>
      </c>
      <c r="P10" s="70">
        <v>1001</v>
      </c>
      <c r="Q10" s="70" t="s">
        <v>61</v>
      </c>
      <c r="S10" s="99"/>
    </row>
    <row r="11" spans="1:25" ht="15" customHeight="1" x14ac:dyDescent="0.25">
      <c r="A11" s="69">
        <f>IF(AND(C11&gt;=75,C11&lt;1000),0,1)</f>
        <v>0</v>
      </c>
      <c r="B11" s="107" t="str">
        <f>"Vattenmängd, L/ha ("&amp;F12&amp;" enl PM)"</f>
        <v>Vattenmängd, L/ha (200 enl PM)</v>
      </c>
      <c r="C11" s="108">
        <v>200</v>
      </c>
      <c r="D11" s="163" t="s">
        <v>62</v>
      </c>
      <c r="E11" s="164"/>
      <c r="F11" s="109">
        <f>600*F8/(F7*C13/100)</f>
        <v>217.25021915949026</v>
      </c>
      <c r="G11" s="85" t="s">
        <v>63</v>
      </c>
      <c r="H11" s="110"/>
      <c r="I11" s="87" t="s">
        <v>64</v>
      </c>
      <c r="J11" s="111">
        <f>0.2314*C$12^0.4996</f>
        <v>0.38704682308053573</v>
      </c>
      <c r="K11" s="112">
        <v>10</v>
      </c>
      <c r="L11" s="97" t="s">
        <v>65</v>
      </c>
      <c r="M11" s="38">
        <v>10</v>
      </c>
      <c r="N11" s="37" t="s">
        <v>66</v>
      </c>
      <c r="P11" s="70">
        <v>1010</v>
      </c>
      <c r="Q11" s="70" t="s">
        <v>67</v>
      </c>
    </row>
    <row r="12" spans="1:25" ht="15" customHeight="1" x14ac:dyDescent="0.25">
      <c r="A12" s="69">
        <f>IF(AND(C12&gt;1,C12&lt;6),0,1)</f>
        <v>0</v>
      </c>
      <c r="B12" s="72" t="s">
        <v>68</v>
      </c>
      <c r="C12" s="113">
        <v>2.8</v>
      </c>
      <c r="D12" s="163"/>
      <c r="E12" s="164"/>
      <c r="F12" s="114">
        <f>[1]kf!N12</f>
        <v>200</v>
      </c>
      <c r="G12" s="85" t="s">
        <v>69</v>
      </c>
      <c r="H12" s="79" t="s">
        <v>70</v>
      </c>
      <c r="I12" s="87" t="s">
        <v>71</v>
      </c>
      <c r="J12" s="111">
        <f>0.3375*C$12^0.5094</f>
        <v>0.57023789957174587</v>
      </c>
      <c r="K12" s="112">
        <v>11</v>
      </c>
      <c r="L12" s="97" t="s">
        <v>72</v>
      </c>
      <c r="M12" s="38">
        <v>11</v>
      </c>
      <c r="N12" s="37" t="s">
        <v>73</v>
      </c>
      <c r="P12" s="70">
        <v>1011</v>
      </c>
      <c r="Q12" s="70" t="s">
        <v>74</v>
      </c>
    </row>
    <row r="13" spans="1:25" ht="15" customHeight="1" x14ac:dyDescent="0.25">
      <c r="A13" s="69">
        <f>IF(AND(C13&gt;1,C13&lt;8),0,1)</f>
        <v>0</v>
      </c>
      <c r="B13" s="72" t="s">
        <v>75</v>
      </c>
      <c r="C13" s="113">
        <v>4.5999999999999996</v>
      </c>
      <c r="D13" s="115"/>
      <c r="G13" s="85" t="s">
        <v>76</v>
      </c>
      <c r="H13" s="86" t="s">
        <v>77</v>
      </c>
      <c r="I13" s="87" t="s">
        <v>54</v>
      </c>
      <c r="J13" s="111">
        <f>0.46*C$12^0.4955</f>
        <v>0.76616910623580237</v>
      </c>
      <c r="K13" s="112">
        <v>12</v>
      </c>
      <c r="L13" s="97" t="s">
        <v>78</v>
      </c>
      <c r="M13" s="38">
        <v>12</v>
      </c>
      <c r="N13" s="37" t="s">
        <v>79</v>
      </c>
      <c r="P13" s="70">
        <v>1100</v>
      </c>
      <c r="Q13" s="70" t="s">
        <v>80</v>
      </c>
    </row>
    <row r="14" spans="1:25" ht="15" customHeight="1" x14ac:dyDescent="0.25">
      <c r="A14" s="116">
        <f>COUNTBLANK(C15:C23)+SUM(A15:A23)</f>
        <v>0</v>
      </c>
      <c r="B14" s="58" t="s">
        <v>81</v>
      </c>
      <c r="D14" s="6"/>
      <c r="G14" s="85" t="s">
        <v>82</v>
      </c>
      <c r="H14" s="86" t="s">
        <v>83</v>
      </c>
      <c r="I14" s="87" t="s">
        <v>84</v>
      </c>
      <c r="J14" s="111">
        <f>0.5799*C$12^0.4948</f>
        <v>0.96517686322946905</v>
      </c>
      <c r="K14" s="112">
        <v>20</v>
      </c>
      <c r="L14" s="97" t="s">
        <v>85</v>
      </c>
      <c r="M14" s="38"/>
      <c r="N14" s="37" t="s">
        <v>86</v>
      </c>
      <c r="P14" s="70">
        <v>1101</v>
      </c>
      <c r="Q14" s="70" t="s">
        <v>87</v>
      </c>
    </row>
    <row r="15" spans="1:25" s="4" customFormat="1" ht="15" customHeight="1" x14ac:dyDescent="0.2">
      <c r="A15" s="4">
        <f>IF(AND(C15&gt;=2,C15&lt;30,D15&gt;=2,D15&lt;30),0,1)</f>
        <v>0</v>
      </c>
      <c r="B15" s="72" t="s">
        <v>88</v>
      </c>
      <c r="C15" s="113">
        <v>13</v>
      </c>
      <c r="D15" s="113">
        <v>13.2</v>
      </c>
      <c r="G15" s="85" t="s">
        <v>89</v>
      </c>
      <c r="H15" s="86" t="s">
        <v>90</v>
      </c>
      <c r="I15" s="87" t="s">
        <v>91</v>
      </c>
      <c r="J15" s="111">
        <f>0.6946*C$12^0.4948</f>
        <v>1.1560818230715455</v>
      </c>
      <c r="K15" s="112">
        <v>21</v>
      </c>
      <c r="L15" s="97" t="s">
        <v>92</v>
      </c>
      <c r="M15" s="38">
        <v>30</v>
      </c>
      <c r="N15" s="37" t="s">
        <v>93</v>
      </c>
      <c r="P15" s="70">
        <v>1110</v>
      </c>
      <c r="Q15" s="70" t="s">
        <v>94</v>
      </c>
      <c r="R15" s="6"/>
      <c r="S15" s="6"/>
      <c r="T15" s="6"/>
      <c r="U15" s="6"/>
      <c r="V15" s="6"/>
      <c r="W15" s="6"/>
      <c r="X15" s="6"/>
      <c r="Y15" s="6"/>
    </row>
    <row r="16" spans="1:25" ht="15" customHeight="1" x14ac:dyDescent="0.25">
      <c r="A16" s="4">
        <f>IF(AND(C16&gt;15,C16&lt;=100,D16&gt;15,D16&lt;=100),0,1)</f>
        <v>0</v>
      </c>
      <c r="B16" s="72" t="s">
        <v>95</v>
      </c>
      <c r="C16" s="117">
        <v>36</v>
      </c>
      <c r="D16" s="117">
        <v>33.299999999999997</v>
      </c>
      <c r="G16" s="85" t="s">
        <v>96</v>
      </c>
      <c r="H16" s="118"/>
      <c r="I16" s="16"/>
      <c r="J16" s="110"/>
      <c r="K16" s="112">
        <v>22</v>
      </c>
      <c r="L16" s="97" t="s">
        <v>97</v>
      </c>
      <c r="M16" s="38">
        <v>31</v>
      </c>
      <c r="N16" s="37" t="s">
        <v>98</v>
      </c>
      <c r="P16" s="70">
        <v>1111</v>
      </c>
      <c r="Q16" s="70" t="s">
        <v>99</v>
      </c>
    </row>
    <row r="17" spans="1:82" ht="15" customHeight="1" x14ac:dyDescent="0.25">
      <c r="A17" s="4">
        <f>IF(AND(C17&gt;=0,C17&lt;=100),0,1)</f>
        <v>0</v>
      </c>
      <c r="B17" s="119" t="s">
        <v>100</v>
      </c>
      <c r="C17" s="108">
        <v>0</v>
      </c>
      <c r="D17" s="120" t="s">
        <v>101</v>
      </c>
      <c r="E17" s="120" t="s">
        <v>102</v>
      </c>
      <c r="G17" s="85" t="s">
        <v>103</v>
      </c>
      <c r="H17" s="79" t="s">
        <v>104</v>
      </c>
      <c r="I17" s="16"/>
      <c r="J17" s="121">
        <f>F11*(1-J9)</f>
        <v>195.52519724354124</v>
      </c>
      <c r="K17" s="112">
        <v>30</v>
      </c>
      <c r="L17" s="97" t="s">
        <v>105</v>
      </c>
      <c r="M17" s="38">
        <v>32</v>
      </c>
      <c r="N17" s="37" t="s">
        <v>106</v>
      </c>
    </row>
    <row r="18" spans="1:82" ht="15" customHeight="1" x14ac:dyDescent="0.25">
      <c r="A18" s="4">
        <f>IF(AND(C18&gt;=0,C18&lt;6,D18&gt;=0,D18&lt;6,E18&gt;=0,E18&lt;6),0,1)</f>
        <v>0</v>
      </c>
      <c r="B18" s="72" t="s">
        <v>107</v>
      </c>
      <c r="C18" s="113">
        <v>1.3</v>
      </c>
      <c r="D18" s="122">
        <v>1.1000000000000001</v>
      </c>
      <c r="E18" s="122">
        <v>2</v>
      </c>
      <c r="G18" s="85" t="s">
        <v>108</v>
      </c>
      <c r="H18" s="86" t="s">
        <v>109</v>
      </c>
      <c r="I18" s="16"/>
      <c r="J18" s="121">
        <f>F11*(1+J9)</f>
        <v>238.9752410754393</v>
      </c>
      <c r="K18" s="112">
        <v>31</v>
      </c>
      <c r="L18" s="97" t="s">
        <v>110</v>
      </c>
      <c r="M18" s="38"/>
      <c r="N18" s="37" t="s">
        <v>86</v>
      </c>
      <c r="P18" s="4" t="s">
        <v>18</v>
      </c>
      <c r="Q18" s="4" t="s">
        <v>111</v>
      </c>
      <c r="BV18" s="4"/>
      <c r="BW18" s="4"/>
      <c r="BX18" s="4"/>
      <c r="BY18" s="4"/>
      <c r="BZ18" s="4"/>
      <c r="CA18" s="4"/>
      <c r="CB18" s="4"/>
      <c r="CC18" s="4"/>
      <c r="CD18" s="4"/>
    </row>
    <row r="19" spans="1:82" s="16" customFormat="1" ht="15" customHeight="1" x14ac:dyDescent="0.2">
      <c r="A19" s="4">
        <f>IF(AND(ISTEXT(C19),ISTEXT(D19),ISTEXT(E19)),0,1)</f>
        <v>0</v>
      </c>
      <c r="B19" s="123" t="s">
        <v>112</v>
      </c>
      <c r="C19" s="105" t="s">
        <v>55</v>
      </c>
      <c r="D19" s="124" t="s">
        <v>55</v>
      </c>
      <c r="E19" s="124" t="s">
        <v>55</v>
      </c>
      <c r="G19" s="85" t="s">
        <v>113</v>
      </c>
      <c r="H19" s="86" t="s">
        <v>114</v>
      </c>
      <c r="J19" s="121">
        <f>IF(ISNUMBER(F12),F12*(1-J9),LEFT(F12,3)*1)</f>
        <v>180</v>
      </c>
      <c r="K19" s="112">
        <v>32</v>
      </c>
      <c r="L19" s="97" t="s">
        <v>115</v>
      </c>
      <c r="M19" s="38">
        <v>50</v>
      </c>
      <c r="N19" s="37" t="s">
        <v>116</v>
      </c>
      <c r="P19" s="4" t="s">
        <v>25</v>
      </c>
      <c r="Q19" s="4" t="s">
        <v>117</v>
      </c>
      <c r="R19" s="125"/>
      <c r="S19" s="125"/>
      <c r="T19" s="125"/>
      <c r="U19" s="125"/>
      <c r="V19" s="125"/>
      <c r="W19" s="125"/>
      <c r="X19" s="125"/>
      <c r="Y19" s="125"/>
    </row>
    <row r="20" spans="1:82" s="16" customFormat="1" ht="15" customHeight="1" x14ac:dyDescent="0.2">
      <c r="A20" s="4">
        <f>IF(AND(C20&gt;0,C20&lt;30),0,1)</f>
        <v>0</v>
      </c>
      <c r="B20" s="72" t="s">
        <v>118</v>
      </c>
      <c r="C20" s="113">
        <v>6.9</v>
      </c>
      <c r="D20" s="154" t="s">
        <v>119</v>
      </c>
      <c r="E20" s="155"/>
      <c r="G20" s="85" t="s">
        <v>120</v>
      </c>
      <c r="H20" s="86" t="s">
        <v>121</v>
      </c>
      <c r="J20" s="121">
        <f>IF(ISNUMBER(F12),F12*(1+J9),RIGHT(F12,3)*1)</f>
        <v>220.00000000000003</v>
      </c>
      <c r="K20" s="112">
        <v>37</v>
      </c>
      <c r="L20" s="97" t="s">
        <v>122</v>
      </c>
      <c r="M20" s="38"/>
      <c r="N20" s="37" t="s">
        <v>123</v>
      </c>
      <c r="P20" s="4" t="s">
        <v>32</v>
      </c>
      <c r="Q20" s="4" t="s">
        <v>124</v>
      </c>
      <c r="R20" s="125"/>
      <c r="S20" s="125"/>
      <c r="T20" s="125"/>
      <c r="U20" s="125"/>
      <c r="V20" s="125"/>
      <c r="W20" s="125"/>
      <c r="X20" s="125"/>
      <c r="Y20" s="125"/>
    </row>
    <row r="21" spans="1:82" s="16" customFormat="1" ht="15" customHeight="1" x14ac:dyDescent="0.25">
      <c r="A21" s="4">
        <f>IF(ISTEXT(C21),0,1)</f>
        <v>0</v>
      </c>
      <c r="B21" s="72" t="s">
        <v>125</v>
      </c>
      <c r="C21" s="105" t="s">
        <v>48</v>
      </c>
      <c r="D21" s="126" t="s">
        <v>126</v>
      </c>
      <c r="E21" s="175" t="s">
        <v>127</v>
      </c>
      <c r="F21" s="175"/>
      <c r="G21" s="127" t="s">
        <v>128</v>
      </c>
      <c r="H21" s="118"/>
      <c r="I21" s="33"/>
      <c r="J21" s="128"/>
      <c r="K21" s="11">
        <v>39</v>
      </c>
      <c r="L21" s="5" t="s">
        <v>129</v>
      </c>
      <c r="M21" s="38">
        <v>51</v>
      </c>
      <c r="N21" s="37" t="s">
        <v>130</v>
      </c>
      <c r="P21" s="4" t="s">
        <v>40</v>
      </c>
      <c r="Q21" s="4" t="s">
        <v>131</v>
      </c>
      <c r="R21" s="125"/>
      <c r="S21" s="125"/>
      <c r="T21" s="125"/>
      <c r="U21" s="125"/>
      <c r="V21" s="125"/>
      <c r="W21" s="125"/>
      <c r="X21" s="125"/>
      <c r="Y21" s="125"/>
    </row>
    <row r="22" spans="1:82" s="16" customFormat="1" ht="15" customHeight="1" x14ac:dyDescent="0.25">
      <c r="A22" s="4">
        <f>IF(ISTEXT(C22),0,1)</f>
        <v>0</v>
      </c>
      <c r="B22" s="72" t="s">
        <v>132</v>
      </c>
      <c r="C22" s="105" t="s">
        <v>32</v>
      </c>
      <c r="D22" s="176" t="s">
        <v>133</v>
      </c>
      <c r="E22" s="177"/>
      <c r="F22" s="177"/>
      <c r="G22" s="178"/>
      <c r="H22" s="179"/>
      <c r="K22" s="38">
        <v>41</v>
      </c>
      <c r="L22" s="97" t="s">
        <v>134</v>
      </c>
      <c r="M22" s="41"/>
      <c r="N22" s="37" t="s">
        <v>135</v>
      </c>
      <c r="P22" s="4" t="s">
        <v>48</v>
      </c>
      <c r="Q22" s="4" t="s">
        <v>136</v>
      </c>
      <c r="R22" s="125"/>
      <c r="S22" s="125"/>
      <c r="T22" s="125"/>
      <c r="U22" s="125"/>
      <c r="V22" s="125"/>
      <c r="W22" s="125"/>
      <c r="X22" s="125"/>
      <c r="Y22" s="125"/>
    </row>
    <row r="23" spans="1:82" s="4" customFormat="1" ht="15" customHeight="1" x14ac:dyDescent="0.25">
      <c r="A23" s="4">
        <f>IF(ISTEXT(C23),0,1)</f>
        <v>0</v>
      </c>
      <c r="B23" s="72" t="s">
        <v>70</v>
      </c>
      <c r="C23" s="105" t="s">
        <v>83</v>
      </c>
      <c r="D23" s="176"/>
      <c r="E23" s="177"/>
      <c r="F23" s="177"/>
      <c r="G23" s="180" t="s">
        <v>137</v>
      </c>
      <c r="H23" s="181"/>
      <c r="I23" s="181"/>
      <c r="J23" s="129"/>
      <c r="K23" s="38">
        <v>45</v>
      </c>
      <c r="L23" s="97" t="s">
        <v>138</v>
      </c>
      <c r="M23" s="38">
        <v>55</v>
      </c>
      <c r="N23" s="37" t="s">
        <v>139</v>
      </c>
      <c r="P23" s="4" t="s">
        <v>56</v>
      </c>
      <c r="Q23" s="4" t="s">
        <v>140</v>
      </c>
      <c r="R23" s="6"/>
      <c r="S23" s="6"/>
      <c r="T23" s="6"/>
      <c r="U23" s="6"/>
      <c r="V23" s="6"/>
      <c r="W23" s="6"/>
      <c r="X23" s="6"/>
      <c r="Y23" s="6"/>
    </row>
    <row r="24" spans="1:82" s="16" customFormat="1" ht="15" customHeight="1" x14ac:dyDescent="0.25">
      <c r="A24" s="69">
        <f>COUNTBLANK(C26:E28)+COUNTBLANK(C29:C34)+SUM(A25,A29:A35)</f>
        <v>0</v>
      </c>
      <c r="B24" s="130" t="s">
        <v>141</v>
      </c>
      <c r="C24" s="125"/>
      <c r="D24" s="3"/>
      <c r="E24" s="1"/>
      <c r="F24" s="1"/>
      <c r="G24" s="182"/>
      <c r="H24" s="183"/>
      <c r="I24" s="183"/>
      <c r="J24" s="129"/>
      <c r="K24" s="38">
        <v>49</v>
      </c>
      <c r="L24" s="97" t="s">
        <v>142</v>
      </c>
      <c r="M24" s="38"/>
      <c r="N24" s="37" t="s">
        <v>143</v>
      </c>
      <c r="P24" s="4" t="s">
        <v>77</v>
      </c>
      <c r="Q24" s="4" t="s">
        <v>144</v>
      </c>
      <c r="R24" s="125"/>
      <c r="S24" s="125"/>
      <c r="T24" s="125"/>
      <c r="U24" s="125"/>
      <c r="V24" s="125"/>
      <c r="W24" s="125"/>
      <c r="X24" s="125"/>
      <c r="Y24" s="125"/>
    </row>
    <row r="25" spans="1:82" s="16" customFormat="1" ht="15" customHeight="1" x14ac:dyDescent="0.25">
      <c r="A25" s="131">
        <f>IF(OR(C26&gt;E26,C26&lt;D26,D26&gt;E26),0.5,0)</f>
        <v>0</v>
      </c>
      <c r="B25" s="132"/>
      <c r="C25" s="133" t="s">
        <v>145</v>
      </c>
      <c r="D25" s="133" t="s">
        <v>146</v>
      </c>
      <c r="E25" s="134" t="s">
        <v>102</v>
      </c>
      <c r="F25" s="1"/>
      <c r="G25" s="184" t="s">
        <v>147</v>
      </c>
      <c r="H25" s="184" t="s">
        <v>148</v>
      </c>
      <c r="I25" s="185" t="s">
        <v>149</v>
      </c>
      <c r="J25" s="129"/>
      <c r="K25" s="38">
        <v>51</v>
      </c>
      <c r="L25" s="97" t="s">
        <v>150</v>
      </c>
      <c r="M25" s="38">
        <v>59</v>
      </c>
      <c r="N25" s="37" t="s">
        <v>151</v>
      </c>
      <c r="P25" s="4" t="s">
        <v>83</v>
      </c>
      <c r="Q25" s="4" t="s">
        <v>152</v>
      </c>
      <c r="R25" s="125"/>
      <c r="S25" s="125"/>
      <c r="T25" s="125"/>
      <c r="U25" s="125"/>
      <c r="V25" s="125"/>
      <c r="W25" s="125"/>
      <c r="X25" s="125"/>
      <c r="Y25" s="125"/>
    </row>
    <row r="26" spans="1:82" s="16" customFormat="1" ht="15" customHeight="1" x14ac:dyDescent="0.25">
      <c r="A26" s="69">
        <f>IF(ISNUMBER(C26),0,1)+IF(ISNUMBER(D26),0,1)+IF(ISNUMBER(E26),0,1)+IF(OR(C26&gt;100,D26&gt;100,E26&gt;100),1,0)</f>
        <v>0</v>
      </c>
      <c r="B26" s="72" t="s">
        <v>153</v>
      </c>
      <c r="C26" s="135">
        <v>39</v>
      </c>
      <c r="D26" s="135">
        <v>39</v>
      </c>
      <c r="E26" s="136">
        <v>39</v>
      </c>
      <c r="F26" s="137">
        <f>IF(AND([1]kf!K12&lt;&gt;"Weeds in cereals",OR(AND(C26&gt;29,C26&lt;40),AND(C26&gt;49,C26&lt;60))),1,0)</f>
        <v>0</v>
      </c>
      <c r="G26" s="184"/>
      <c r="H26" s="184"/>
      <c r="I26" s="185"/>
      <c r="J26" s="1"/>
      <c r="K26" s="38">
        <v>55</v>
      </c>
      <c r="L26" s="97" t="s">
        <v>154</v>
      </c>
      <c r="M26" s="38">
        <v>61</v>
      </c>
      <c r="N26" s="37" t="s">
        <v>155</v>
      </c>
      <c r="P26" s="4" t="s">
        <v>90</v>
      </c>
      <c r="Q26" s="4" t="s">
        <v>156</v>
      </c>
      <c r="R26" s="125"/>
      <c r="S26" s="125"/>
      <c r="T26" s="125"/>
      <c r="U26" s="125"/>
      <c r="V26" s="125"/>
      <c r="W26" s="125"/>
      <c r="X26" s="125"/>
      <c r="Y26" s="125"/>
    </row>
    <row r="27" spans="1:82" s="16" customFormat="1" ht="15" customHeight="1" x14ac:dyDescent="0.25">
      <c r="A27" s="69">
        <f>IF(ISNUMBER(C27),0,1)+IF(ISNUMBER(D27),0,1)+IF(ISNUMBER(E27),0,1)+IF(OR(C27&lt;D27,C27&lt;E27,SUM(C27:E27)&gt;100),1,0)</f>
        <v>0</v>
      </c>
      <c r="B27" s="72" t="s">
        <v>157</v>
      </c>
      <c r="C27" s="136">
        <v>80</v>
      </c>
      <c r="D27" s="136">
        <v>10</v>
      </c>
      <c r="E27" s="136">
        <v>10</v>
      </c>
      <c r="F27" s="1"/>
      <c r="G27" s="138"/>
      <c r="H27" s="138"/>
      <c r="I27" s="138"/>
      <c r="J27" s="1"/>
      <c r="K27" s="38">
        <v>59</v>
      </c>
      <c r="L27" s="97" t="s">
        <v>158</v>
      </c>
      <c r="M27" s="38">
        <v>65</v>
      </c>
      <c r="N27" s="37" t="s">
        <v>159</v>
      </c>
      <c r="P27" s="4" t="s">
        <v>109</v>
      </c>
      <c r="Q27" s="4" t="s">
        <v>160</v>
      </c>
      <c r="R27" s="125"/>
      <c r="S27" s="125"/>
      <c r="T27" s="125"/>
      <c r="U27" s="125"/>
      <c r="V27" s="125"/>
      <c r="W27" s="125"/>
      <c r="X27" s="125"/>
      <c r="Y27" s="125"/>
    </row>
    <row r="28" spans="1:82" s="16" customFormat="1" ht="15" customHeight="1" x14ac:dyDescent="0.25">
      <c r="A28" s="69">
        <f>IF(ISNUMBER(C28),0,1)+IF(ISNUMBER(D28),0,1)+IF(ISNUMBER(E28),0,1)+IF(D28&gt;C28,1,0)+IF(OR(E28&lt;C28,E28&lt;D28),1,0)</f>
        <v>0</v>
      </c>
      <c r="B28" s="72" t="s">
        <v>161</v>
      </c>
      <c r="C28" s="135">
        <v>13</v>
      </c>
      <c r="D28" s="135">
        <v>13</v>
      </c>
      <c r="E28" s="136">
        <v>14</v>
      </c>
      <c r="F28" s="1"/>
      <c r="G28" s="139" t="str">
        <f>[1]Maskiner!Q26</f>
        <v>E Speedy 2006</v>
      </c>
      <c r="H28" s="139" t="str">
        <f>[1]Maskiner!R26</f>
        <v>HSE 3.1</v>
      </c>
      <c r="I28" s="140">
        <f>[1]Maskiner!S26</f>
        <v>46</v>
      </c>
      <c r="J28" s="1"/>
      <c r="K28" s="38">
        <v>61</v>
      </c>
      <c r="L28" s="97" t="s">
        <v>162</v>
      </c>
      <c r="M28" s="38">
        <v>69</v>
      </c>
      <c r="N28" s="37" t="s">
        <v>163</v>
      </c>
      <c r="P28" s="4" t="s">
        <v>114</v>
      </c>
      <c r="Q28" s="4" t="s">
        <v>164</v>
      </c>
      <c r="R28" s="125"/>
      <c r="S28" s="125"/>
      <c r="T28" s="125"/>
      <c r="U28" s="125"/>
      <c r="V28" s="125"/>
      <c r="W28" s="125"/>
      <c r="X28" s="125"/>
      <c r="Y28" s="125"/>
    </row>
    <row r="29" spans="1:82" s="16" customFormat="1" ht="15" customHeight="1" x14ac:dyDescent="0.2">
      <c r="A29" s="131">
        <f>IF(ISNUMBER(C29),0,1)</f>
        <v>0</v>
      </c>
      <c r="B29" s="72" t="s">
        <v>165</v>
      </c>
      <c r="C29" s="136">
        <v>23</v>
      </c>
      <c r="E29" s="165" t="str">
        <f>IF(SUM(A2,A7,A14,A24,A36)=0,"Allt klart!",IF(AND(SUM(A2,A7,A14,A24)=0,A36=1),"Du har glömt att signera!",VLOOKUP(A1,P2:Q18,2,0)))</f>
        <v>Allt klart!</v>
      </c>
      <c r="F29" s="166"/>
      <c r="G29" s="139" t="str">
        <f>[1]Maskiner!Q27</f>
        <v>E Speedy 2018</v>
      </c>
      <c r="H29" s="139" t="str">
        <f>[1]Maskiner!R27</f>
        <v>HSE 3.12</v>
      </c>
      <c r="I29" s="140">
        <f>[1]Maskiner!S27</f>
        <v>46</v>
      </c>
      <c r="J29" s="141"/>
      <c r="K29" s="40">
        <v>65</v>
      </c>
      <c r="L29" s="5" t="s">
        <v>166</v>
      </c>
      <c r="M29" s="38">
        <v>70</v>
      </c>
      <c r="N29" s="37" t="s">
        <v>167</v>
      </c>
      <c r="P29" s="4" t="s">
        <v>121</v>
      </c>
      <c r="Q29" s="4" t="s">
        <v>168</v>
      </c>
      <c r="R29" s="125"/>
      <c r="S29" s="125"/>
      <c r="T29" s="125"/>
      <c r="U29" s="125"/>
      <c r="V29" s="125"/>
      <c r="W29" s="125"/>
      <c r="X29" s="125"/>
      <c r="Y29" s="125"/>
    </row>
    <row r="30" spans="1:82" s="16" customFormat="1" ht="15" customHeight="1" x14ac:dyDescent="0.2">
      <c r="A30" s="142">
        <f>IF(ISTEXT(C30),0,1)</f>
        <v>0</v>
      </c>
      <c r="B30" s="72" t="s">
        <v>169</v>
      </c>
      <c r="C30" s="143" t="s">
        <v>114</v>
      </c>
      <c r="E30" s="165"/>
      <c r="F30" s="166"/>
      <c r="G30" s="139" t="str">
        <f>[1]Maskiner!Q28</f>
        <v>E Agrotop 1991</v>
      </c>
      <c r="H30" s="139" t="str">
        <f>[1]Maskiner!R28</f>
        <v>HSE 3.3</v>
      </c>
      <c r="I30" s="140">
        <f>[1]Maskiner!S28</f>
        <v>50</v>
      </c>
      <c r="J30" s="141"/>
      <c r="K30" s="38">
        <v>69</v>
      </c>
      <c r="L30" s="97" t="s">
        <v>163</v>
      </c>
      <c r="M30" s="38">
        <v>71</v>
      </c>
      <c r="N30" s="37" t="s">
        <v>170</v>
      </c>
      <c r="P30" s="4" t="s">
        <v>19</v>
      </c>
      <c r="Q30" s="4" t="s">
        <v>171</v>
      </c>
      <c r="R30" s="125"/>
      <c r="S30" s="125"/>
      <c r="T30" s="125"/>
      <c r="U30" s="125"/>
      <c r="V30" s="125"/>
      <c r="W30" s="125"/>
      <c r="X30" s="125"/>
      <c r="Y30" s="125"/>
    </row>
    <row r="31" spans="1:82" s="4" customFormat="1" ht="15" customHeight="1" x14ac:dyDescent="0.2">
      <c r="A31" s="142">
        <f>IF(AND(C31&gt;=0,C31&lt;=100),0,1)</f>
        <v>0</v>
      </c>
      <c r="B31" s="72" t="s">
        <v>172</v>
      </c>
      <c r="C31" s="144">
        <v>75</v>
      </c>
      <c r="E31" s="165"/>
      <c r="F31" s="166"/>
      <c r="G31" s="139" t="str">
        <f>[1]Maskiner!Q29</f>
        <v>E Hardi 12 m årsm 2000</v>
      </c>
      <c r="H31" s="139" t="str">
        <f>[1]Maskiner!R29</f>
        <v>HSE 3.4</v>
      </c>
      <c r="I31" s="140">
        <f>[1]Maskiner!S29</f>
        <v>50</v>
      </c>
      <c r="J31" s="141"/>
      <c r="K31" s="38">
        <v>73</v>
      </c>
      <c r="L31" s="97" t="s">
        <v>173</v>
      </c>
      <c r="M31" s="38" t="s">
        <v>174</v>
      </c>
      <c r="N31" s="37" t="s">
        <v>175</v>
      </c>
      <c r="P31" s="4" t="s">
        <v>26</v>
      </c>
      <c r="Q31" s="4" t="s">
        <v>176</v>
      </c>
      <c r="R31" s="6"/>
      <c r="S31" s="6"/>
      <c r="T31" s="6"/>
      <c r="U31" s="6"/>
      <c r="V31" s="6"/>
      <c r="W31" s="6"/>
      <c r="X31" s="6"/>
      <c r="Y31" s="6"/>
    </row>
    <row r="32" spans="1:82" s="16" customFormat="1" ht="15" customHeight="1" x14ac:dyDescent="0.2">
      <c r="A32" s="142">
        <f>IF(ISTEXT(C32),0,1)</f>
        <v>0</v>
      </c>
      <c r="B32" s="72" t="s">
        <v>177</v>
      </c>
      <c r="C32" s="144" t="s">
        <v>199</v>
      </c>
      <c r="D32" s="145" t="s">
        <v>179</v>
      </c>
      <c r="E32" s="165"/>
      <c r="F32" s="166"/>
      <c r="G32" s="139" t="e">
        <f>[1]Maskiner!Q30</f>
        <v>#N/A</v>
      </c>
      <c r="H32" s="139" t="e">
        <f>[1]Maskiner!R30</f>
        <v>#N/A</v>
      </c>
      <c r="I32" s="140" t="e">
        <f>[1]Maskiner!S30</f>
        <v>#N/A</v>
      </c>
      <c r="J32" s="141"/>
      <c r="K32" s="38">
        <v>75</v>
      </c>
      <c r="L32" s="97" t="s">
        <v>180</v>
      </c>
      <c r="M32" s="167"/>
      <c r="N32" s="168"/>
      <c r="P32" s="4" t="s">
        <v>33</v>
      </c>
      <c r="Q32" s="4" t="s">
        <v>181</v>
      </c>
      <c r="R32" s="125"/>
      <c r="S32" s="125"/>
      <c r="T32" s="125"/>
      <c r="U32" s="125"/>
      <c r="V32" s="125"/>
      <c r="W32" s="125"/>
      <c r="X32" s="125"/>
      <c r="Y32" s="125"/>
    </row>
    <row r="33" spans="1:25" s="16" customFormat="1" ht="15" customHeight="1" x14ac:dyDescent="0.25">
      <c r="A33" s="142">
        <f>IF(ISTEXT(C33),0,1)</f>
        <v>0</v>
      </c>
      <c r="B33" s="72" t="s">
        <v>182</v>
      </c>
      <c r="C33" s="146" t="s">
        <v>33</v>
      </c>
      <c r="D33" s="3"/>
      <c r="E33" s="165"/>
      <c r="F33" s="166"/>
      <c r="G33" s="139" t="e">
        <f>[1]Maskiner!Q31</f>
        <v>#N/A</v>
      </c>
      <c r="H33" s="139" t="e">
        <f>[1]Maskiner!R31</f>
        <v>#N/A</v>
      </c>
      <c r="I33" s="140" t="e">
        <f>[1]Maskiner!S31</f>
        <v>#N/A</v>
      </c>
      <c r="J33" s="141"/>
      <c r="K33" s="38">
        <v>77</v>
      </c>
      <c r="L33" s="97" t="s">
        <v>183</v>
      </c>
      <c r="M33" s="169"/>
      <c r="N33" s="170"/>
      <c r="R33" s="125"/>
      <c r="S33" s="125"/>
      <c r="T33" s="125"/>
      <c r="U33" s="125"/>
      <c r="V33" s="125"/>
      <c r="W33" s="125"/>
      <c r="X33" s="125"/>
      <c r="Y33" s="125"/>
    </row>
    <row r="34" spans="1:25" s="16" customFormat="1" ht="15" customHeight="1" x14ac:dyDescent="0.25">
      <c r="A34" s="142">
        <f>IF(AND(C34&gt;=5,C34&lt;=100),0,1)</f>
        <v>0</v>
      </c>
      <c r="B34" s="72" t="s">
        <v>184</v>
      </c>
      <c r="C34" s="144">
        <v>12.5</v>
      </c>
      <c r="D34" s="3"/>
      <c r="E34" s="165"/>
      <c r="F34" s="166"/>
      <c r="G34" s="139" t="e">
        <f>[1]Maskiner!Q32</f>
        <v>#N/A</v>
      </c>
      <c r="H34" s="139" t="e">
        <f>[1]Maskiner!R32</f>
        <v>#N/A</v>
      </c>
      <c r="I34" s="140" t="e">
        <f>[1]Maskiner!S32</f>
        <v>#N/A</v>
      </c>
      <c r="J34" s="141"/>
      <c r="K34" s="38">
        <v>83</v>
      </c>
      <c r="L34" s="97" t="s">
        <v>185</v>
      </c>
      <c r="M34" s="169"/>
      <c r="N34" s="170"/>
      <c r="R34" s="125"/>
      <c r="S34" s="125"/>
      <c r="T34" s="125"/>
      <c r="U34" s="125"/>
      <c r="V34" s="125"/>
      <c r="W34" s="125"/>
      <c r="X34" s="125"/>
      <c r="Y34" s="125"/>
    </row>
    <row r="35" spans="1:25" s="16" customFormat="1" ht="15" customHeight="1" x14ac:dyDescent="0.25">
      <c r="A35" s="131">
        <f>IF(OR(C28&gt;E28,C28&lt;D28,D28&gt;E28),0.5,0)</f>
        <v>0</v>
      </c>
      <c r="B35" s="123" t="s">
        <v>186</v>
      </c>
      <c r="C35" s="144"/>
      <c r="D35" s="147" t="s">
        <v>187</v>
      </c>
      <c r="E35" s="1"/>
      <c r="F35" s="1"/>
      <c r="G35" s="139" t="e">
        <f>[1]Maskiner!Q33</f>
        <v>#N/A</v>
      </c>
      <c r="H35" s="139" t="e">
        <f>[1]Maskiner!R33</f>
        <v>#N/A</v>
      </c>
      <c r="I35" s="140" t="e">
        <f>[1]Maskiner!S33</f>
        <v>#N/A</v>
      </c>
      <c r="J35" s="141"/>
      <c r="K35" s="38">
        <v>85</v>
      </c>
      <c r="L35" s="97" t="s">
        <v>188</v>
      </c>
      <c r="M35" s="169"/>
      <c r="N35" s="170"/>
      <c r="R35" s="125"/>
      <c r="S35" s="125"/>
      <c r="T35" s="125"/>
      <c r="U35" s="125"/>
      <c r="V35" s="125"/>
      <c r="W35" s="125"/>
      <c r="X35" s="125"/>
      <c r="Y35" s="125"/>
    </row>
    <row r="36" spans="1:25" s="16" customFormat="1" ht="15" customHeight="1" x14ac:dyDescent="0.25">
      <c r="A36" s="69">
        <f>COUNTBLANK(C36)</f>
        <v>0</v>
      </c>
      <c r="B36" s="148" t="s">
        <v>189</v>
      </c>
      <c r="C36" s="173" t="s">
        <v>200</v>
      </c>
      <c r="D36" s="174"/>
      <c r="E36" s="1"/>
      <c r="F36" s="1"/>
      <c r="G36" s="139" t="e">
        <f>[1]Maskiner!Q34</f>
        <v>#N/A</v>
      </c>
      <c r="H36" s="139" t="e">
        <f>[1]Maskiner!R34</f>
        <v>#N/A</v>
      </c>
      <c r="I36" s="140" t="e">
        <f>[1]Maskiner!S34</f>
        <v>#N/A</v>
      </c>
      <c r="J36" s="149"/>
      <c r="K36" s="35">
        <v>87</v>
      </c>
      <c r="L36" s="150" t="s">
        <v>191</v>
      </c>
      <c r="M36" s="171"/>
      <c r="N36" s="172"/>
      <c r="R36" s="125"/>
      <c r="S36" s="125"/>
      <c r="T36" s="125"/>
      <c r="U36" s="125"/>
      <c r="V36" s="125"/>
      <c r="W36" s="125"/>
      <c r="X36" s="125"/>
      <c r="Y36" s="125"/>
    </row>
    <row r="37" spans="1:25" s="16" customFormat="1" ht="15" customHeight="1" x14ac:dyDescent="0.25">
      <c r="A37" s="69"/>
      <c r="F37" s="1"/>
      <c r="G37" s="1"/>
      <c r="H37" s="1"/>
      <c r="I37" s="1"/>
      <c r="J37" s="1"/>
      <c r="R37" s="125"/>
      <c r="S37" s="125"/>
      <c r="T37" s="125"/>
      <c r="U37" s="125"/>
      <c r="V37" s="125"/>
      <c r="W37" s="125"/>
      <c r="X37" s="125"/>
      <c r="Y37" s="125"/>
    </row>
    <row r="38" spans="1:25" s="16" customFormat="1" ht="13.5" customHeight="1" x14ac:dyDescent="0.25">
      <c r="A38" s="69"/>
      <c r="B38" s="1"/>
      <c r="C38" s="3"/>
      <c r="F38" s="1"/>
      <c r="G38" s="1"/>
      <c r="H38" s="1"/>
      <c r="I38" s="1"/>
      <c r="J38" s="1"/>
      <c r="R38" s="125"/>
      <c r="S38" s="125"/>
      <c r="T38" s="125"/>
      <c r="U38" s="125"/>
      <c r="V38" s="125"/>
      <c r="W38" s="125"/>
      <c r="X38" s="125"/>
      <c r="Y38" s="125"/>
    </row>
    <row r="39" spans="1:25" s="16" customFormat="1" ht="13.5" customHeight="1" x14ac:dyDescent="0.25">
      <c r="A39" s="69"/>
      <c r="B39" s="1"/>
      <c r="C39" s="3"/>
      <c r="D39" s="3"/>
      <c r="E39" s="1"/>
      <c r="F39" s="1"/>
      <c r="G39" s="1"/>
      <c r="H39" s="1"/>
      <c r="I39" s="1"/>
      <c r="J39" s="1"/>
      <c r="R39" s="125"/>
      <c r="S39" s="125"/>
      <c r="T39" s="125"/>
      <c r="U39" s="125"/>
      <c r="V39" s="125"/>
      <c r="W39" s="125"/>
      <c r="X39" s="125"/>
      <c r="Y39" s="125"/>
    </row>
    <row r="40" spans="1:25" s="16" customFormat="1" ht="13.5" customHeight="1" x14ac:dyDescent="0.25">
      <c r="A40" s="69"/>
      <c r="B40" s="1"/>
      <c r="C40" s="3"/>
      <c r="D40" s="3"/>
      <c r="E40" s="1"/>
      <c r="F40" s="1"/>
      <c r="G40" s="1"/>
      <c r="H40" s="1"/>
      <c r="I40" s="1"/>
      <c r="J40" s="1"/>
      <c r="R40" s="125"/>
      <c r="S40" s="125"/>
      <c r="T40" s="125"/>
      <c r="U40" s="125"/>
      <c r="V40" s="125"/>
      <c r="W40" s="125"/>
      <c r="X40" s="125"/>
      <c r="Y40" s="125"/>
    </row>
    <row r="41" spans="1:25" s="16" customFormat="1" ht="13.5" customHeight="1" x14ac:dyDescent="0.25">
      <c r="A41" s="69"/>
      <c r="B41" s="1"/>
      <c r="C41" s="3"/>
      <c r="D41" s="3"/>
      <c r="E41" s="1"/>
      <c r="F41" s="1"/>
      <c r="G41" s="1"/>
      <c r="H41" s="1"/>
      <c r="I41" s="1"/>
      <c r="J41" s="1"/>
      <c r="R41" s="125"/>
      <c r="S41" s="125"/>
      <c r="T41" s="125"/>
      <c r="U41" s="125"/>
      <c r="V41" s="125"/>
      <c r="W41" s="125"/>
      <c r="X41" s="125"/>
      <c r="Y41" s="125"/>
    </row>
    <row r="42" spans="1:25" s="16" customFormat="1" ht="13.5" customHeight="1" x14ac:dyDescent="0.25">
      <c r="A42" s="69"/>
      <c r="B42" s="1"/>
      <c r="C42" s="3"/>
      <c r="D42" s="3"/>
      <c r="E42" s="1"/>
      <c r="F42" s="1"/>
      <c r="G42" s="1"/>
      <c r="H42" s="1"/>
      <c r="I42" s="1"/>
      <c r="J42" s="1"/>
      <c r="R42" s="125"/>
      <c r="S42" s="125"/>
      <c r="T42" s="125"/>
      <c r="U42" s="125"/>
      <c r="V42" s="125"/>
      <c r="W42" s="125"/>
      <c r="X42" s="125"/>
      <c r="Y42" s="125"/>
    </row>
    <row r="43" spans="1:25" s="16" customFormat="1" ht="13.5" customHeight="1" x14ac:dyDescent="0.25">
      <c r="A43" s="69"/>
      <c r="B43" s="1"/>
      <c r="C43" s="3"/>
      <c r="D43" s="3"/>
      <c r="E43" s="1"/>
      <c r="F43" s="1"/>
      <c r="G43" s="1"/>
      <c r="H43" s="1"/>
      <c r="I43" s="1"/>
      <c r="J43" s="1"/>
      <c r="R43" s="125"/>
      <c r="S43" s="125"/>
      <c r="T43" s="125"/>
      <c r="U43" s="125"/>
      <c r="V43" s="125"/>
      <c r="W43" s="125"/>
      <c r="X43" s="125"/>
      <c r="Y43" s="125"/>
    </row>
    <row r="44" spans="1:25" s="16" customFormat="1" ht="13.5" customHeight="1" x14ac:dyDescent="0.25">
      <c r="A44" s="69"/>
      <c r="B44" s="1"/>
      <c r="C44" s="3"/>
      <c r="D44" s="3"/>
      <c r="E44" s="1"/>
      <c r="F44" s="1"/>
      <c r="G44" s="1"/>
      <c r="H44" s="1"/>
      <c r="I44" s="1"/>
      <c r="J44" s="1"/>
      <c r="R44" s="125"/>
      <c r="S44" s="125"/>
      <c r="T44" s="125"/>
      <c r="U44" s="125"/>
      <c r="V44" s="125"/>
      <c r="W44" s="125"/>
      <c r="X44" s="125"/>
      <c r="Y44" s="125"/>
    </row>
    <row r="45" spans="1:25" s="16" customFormat="1" ht="13.5" customHeight="1" x14ac:dyDescent="0.25">
      <c r="A45" s="69"/>
      <c r="B45" s="1"/>
      <c r="C45" s="3"/>
      <c r="D45" s="3"/>
      <c r="E45" s="1"/>
      <c r="F45" s="1"/>
      <c r="G45" s="1"/>
      <c r="H45" s="1"/>
      <c r="I45" s="1"/>
      <c r="J45" s="1"/>
      <c r="R45" s="125"/>
      <c r="S45" s="125"/>
      <c r="T45" s="125"/>
      <c r="U45" s="125"/>
      <c r="V45" s="125"/>
      <c r="W45" s="125"/>
      <c r="X45" s="125"/>
      <c r="Y45" s="125"/>
    </row>
    <row r="46" spans="1:25" s="16" customFormat="1" ht="13.5" customHeight="1" x14ac:dyDescent="0.25">
      <c r="A46" s="69"/>
      <c r="B46" s="1"/>
      <c r="C46" s="3"/>
      <c r="D46" s="3"/>
      <c r="E46" s="1"/>
      <c r="F46" s="1"/>
      <c r="G46" s="1"/>
      <c r="H46" s="1"/>
      <c r="I46" s="1"/>
      <c r="J46" s="1"/>
      <c r="R46" s="125"/>
      <c r="S46" s="125"/>
      <c r="T46" s="125"/>
      <c r="U46" s="125"/>
      <c r="V46" s="125"/>
      <c r="W46" s="125"/>
      <c r="X46" s="125"/>
      <c r="Y46" s="125"/>
    </row>
    <row r="47" spans="1:25" s="16" customFormat="1" ht="13.5" customHeight="1" x14ac:dyDescent="0.25">
      <c r="A47" s="69"/>
      <c r="B47" s="1"/>
      <c r="C47" s="3"/>
      <c r="D47" s="3"/>
      <c r="E47" s="1"/>
      <c r="F47" s="1"/>
      <c r="G47" s="1"/>
      <c r="H47" s="1"/>
      <c r="I47" s="1"/>
      <c r="J47" s="1"/>
      <c r="R47" s="125"/>
      <c r="S47" s="125"/>
      <c r="T47" s="125"/>
      <c r="U47" s="125"/>
      <c r="V47" s="125"/>
      <c r="W47" s="125"/>
      <c r="X47" s="125"/>
      <c r="Y47" s="125"/>
    </row>
    <row r="48" spans="1:25" s="16" customFormat="1" ht="13.5" customHeight="1" x14ac:dyDescent="0.25">
      <c r="A48" s="69"/>
      <c r="B48" s="1"/>
      <c r="C48" s="3"/>
      <c r="D48" s="3"/>
      <c r="E48" s="1"/>
      <c r="F48" s="1"/>
      <c r="G48" s="1"/>
      <c r="H48" s="1"/>
      <c r="I48" s="1"/>
      <c r="J48" s="1"/>
      <c r="R48" s="125"/>
      <c r="S48" s="125"/>
      <c r="T48" s="125"/>
      <c r="U48" s="125"/>
      <c r="V48" s="125"/>
      <c r="W48" s="125"/>
      <c r="X48" s="125"/>
      <c r="Y48" s="125"/>
    </row>
    <row r="49" spans="1:25" s="10" customFormat="1" ht="13.5" customHeight="1" x14ac:dyDescent="0.25">
      <c r="A49" s="69"/>
      <c r="B49" s="1"/>
      <c r="C49" s="3"/>
      <c r="D49" s="3"/>
      <c r="E49" s="1"/>
      <c r="F49" s="1"/>
      <c r="G49" s="1"/>
      <c r="H49" s="1"/>
      <c r="I49" s="1"/>
      <c r="J49" s="1"/>
      <c r="M49" s="16"/>
      <c r="N49" s="16"/>
      <c r="R49" s="151"/>
      <c r="S49" s="151"/>
      <c r="T49" s="151"/>
      <c r="U49" s="151"/>
      <c r="V49" s="151"/>
      <c r="W49" s="151"/>
      <c r="X49" s="151"/>
      <c r="Y49" s="151"/>
    </row>
    <row r="50" spans="1:25" s="4" customFormat="1" ht="13.5" customHeight="1" x14ac:dyDescent="0.25">
      <c r="A50" s="69"/>
      <c r="B50" s="1"/>
      <c r="C50" s="3"/>
      <c r="D50" s="3"/>
      <c r="E50" s="1"/>
      <c r="F50" s="1"/>
      <c r="G50" s="1"/>
      <c r="H50" s="1"/>
      <c r="I50" s="1"/>
      <c r="J50" s="1"/>
      <c r="M50" s="16"/>
      <c r="N50" s="10"/>
      <c r="R50" s="6"/>
      <c r="S50" s="6"/>
      <c r="T50" s="6"/>
      <c r="U50" s="6"/>
      <c r="V50" s="6"/>
      <c r="W50" s="6"/>
      <c r="X50" s="6"/>
      <c r="Y50" s="6"/>
    </row>
    <row r="51" spans="1:25" s="4" customFormat="1" ht="13.5" customHeight="1" x14ac:dyDescent="0.25">
      <c r="A51" s="69"/>
      <c r="B51" s="1"/>
      <c r="C51" s="3"/>
      <c r="D51" s="3"/>
      <c r="E51" s="1"/>
      <c r="F51" s="1"/>
      <c r="G51" s="1"/>
      <c r="H51" s="1"/>
      <c r="I51" s="1"/>
      <c r="J51" s="1"/>
      <c r="M51" s="10"/>
      <c r="R51" s="6"/>
      <c r="S51" s="6"/>
      <c r="T51" s="6"/>
      <c r="U51" s="6"/>
      <c r="V51" s="6"/>
      <c r="W51" s="6"/>
      <c r="X51" s="6"/>
      <c r="Y51" s="6"/>
    </row>
    <row r="52" spans="1:25" s="4" customFormat="1" ht="13.5" customHeight="1" x14ac:dyDescent="0.25">
      <c r="A52" s="69"/>
      <c r="B52" s="1"/>
      <c r="C52" s="3"/>
      <c r="D52" s="3"/>
      <c r="E52" s="1"/>
      <c r="F52" s="1"/>
      <c r="G52" s="1"/>
      <c r="H52" s="1"/>
      <c r="I52" s="1"/>
      <c r="J52" s="1"/>
      <c r="R52" s="6"/>
      <c r="S52" s="6"/>
      <c r="T52" s="6"/>
      <c r="U52" s="6"/>
      <c r="V52" s="6"/>
      <c r="W52" s="6"/>
      <c r="X52" s="6"/>
      <c r="Y52" s="6"/>
    </row>
    <row r="53" spans="1:25" s="4" customFormat="1" ht="7.5" customHeight="1" x14ac:dyDescent="0.25">
      <c r="A53" s="69"/>
      <c r="B53" s="1"/>
      <c r="C53" s="3"/>
      <c r="D53" s="3"/>
      <c r="E53" s="1"/>
      <c r="F53" s="1"/>
      <c r="G53" s="1"/>
      <c r="H53" s="1"/>
      <c r="I53" s="1"/>
      <c r="J53" s="1"/>
      <c r="R53" s="6"/>
      <c r="S53" s="6"/>
      <c r="T53" s="6"/>
      <c r="U53" s="6"/>
      <c r="V53" s="6"/>
      <c r="W53" s="6"/>
      <c r="X53" s="6"/>
      <c r="Y53" s="6"/>
    </row>
    <row r="54" spans="1:25" s="4" customFormat="1" ht="11.25" customHeight="1" x14ac:dyDescent="0.25">
      <c r="A54" s="69"/>
      <c r="B54" s="1"/>
      <c r="C54" s="3"/>
      <c r="D54" s="3"/>
      <c r="E54" s="1"/>
      <c r="F54" s="1"/>
      <c r="G54" s="1"/>
      <c r="H54" s="1"/>
      <c r="I54" s="1"/>
      <c r="J54" s="1"/>
      <c r="M54" s="16"/>
      <c r="N54" s="16"/>
      <c r="R54" s="6"/>
      <c r="S54" s="6"/>
      <c r="T54" s="6"/>
      <c r="U54" s="6"/>
      <c r="V54" s="6"/>
      <c r="W54" s="6"/>
      <c r="X54" s="6"/>
      <c r="Y54" s="6"/>
    </row>
    <row r="55" spans="1:25" s="4" customFormat="1" ht="11.25" customHeight="1" x14ac:dyDescent="0.25">
      <c r="A55" s="69"/>
      <c r="B55" s="1"/>
      <c r="C55" s="3"/>
      <c r="D55" s="3"/>
      <c r="E55" s="1"/>
      <c r="F55" s="1"/>
      <c r="G55" s="1"/>
      <c r="H55" s="1"/>
      <c r="I55" s="1"/>
      <c r="J55" s="1"/>
      <c r="M55" s="16"/>
      <c r="N55" s="16"/>
      <c r="R55" s="6"/>
      <c r="S55" s="6"/>
      <c r="T55" s="6"/>
      <c r="U55" s="6"/>
      <c r="V55" s="6"/>
      <c r="W55" s="6"/>
      <c r="X55" s="6"/>
      <c r="Y55" s="6"/>
    </row>
    <row r="56" spans="1:25" s="4" customFormat="1" ht="34.5" customHeight="1" x14ac:dyDescent="0.25">
      <c r="A56" s="69"/>
      <c r="B56" s="1"/>
      <c r="C56" s="3"/>
      <c r="D56" s="3"/>
      <c r="E56" s="1"/>
      <c r="F56" s="1"/>
      <c r="G56" s="1"/>
      <c r="H56" s="1"/>
      <c r="I56" s="1"/>
      <c r="J56" s="1"/>
      <c r="M56" s="16"/>
      <c r="N56" s="16"/>
      <c r="R56" s="6"/>
      <c r="S56" s="6"/>
      <c r="T56" s="6"/>
      <c r="U56" s="6"/>
      <c r="V56" s="6"/>
      <c r="W56" s="6"/>
      <c r="X56" s="6"/>
      <c r="Y56" s="6"/>
    </row>
    <row r="57" spans="1:25" s="4" customFormat="1" ht="13.5" customHeight="1" x14ac:dyDescent="0.25">
      <c r="A57" s="69"/>
      <c r="B57" s="1"/>
      <c r="C57" s="3"/>
      <c r="D57" s="3"/>
      <c r="E57" s="1"/>
      <c r="F57" s="1"/>
      <c r="G57" s="1"/>
      <c r="H57" s="1"/>
      <c r="I57" s="1"/>
      <c r="J57" s="1"/>
      <c r="M57" s="16"/>
      <c r="R57" s="6"/>
      <c r="S57" s="6"/>
      <c r="T57" s="6"/>
      <c r="U57" s="6"/>
      <c r="V57" s="6"/>
      <c r="W57" s="6"/>
      <c r="X57" s="6"/>
      <c r="Y57" s="6"/>
    </row>
    <row r="58" spans="1:25" s="4" customFormat="1" ht="11.25" customHeight="1" x14ac:dyDescent="0.25">
      <c r="A58" s="69"/>
      <c r="B58" s="1"/>
      <c r="C58" s="3"/>
      <c r="D58" s="3"/>
      <c r="E58" s="1"/>
      <c r="F58" s="1"/>
      <c r="G58" s="1"/>
      <c r="H58" s="1"/>
      <c r="I58" s="1"/>
      <c r="J58" s="1"/>
      <c r="R58" s="6"/>
      <c r="S58" s="6"/>
      <c r="T58" s="6"/>
      <c r="U58" s="6"/>
      <c r="V58" s="6"/>
      <c r="W58" s="6"/>
      <c r="X58" s="6"/>
      <c r="Y58" s="6"/>
    </row>
    <row r="59" spans="1:25" s="4" customFormat="1" ht="11.25" customHeight="1" x14ac:dyDescent="0.25">
      <c r="A59" s="69"/>
      <c r="B59" s="1"/>
      <c r="C59" s="3"/>
      <c r="D59" s="3"/>
      <c r="E59" s="1"/>
      <c r="F59" s="1"/>
      <c r="G59" s="1"/>
      <c r="H59" s="1"/>
      <c r="I59" s="1"/>
      <c r="J59" s="1"/>
      <c r="R59" s="6"/>
      <c r="S59" s="6"/>
      <c r="T59" s="6"/>
      <c r="U59" s="6"/>
      <c r="V59" s="6"/>
      <c r="W59" s="6"/>
      <c r="X59" s="6"/>
      <c r="Y59" s="6"/>
    </row>
    <row r="60" spans="1:25" s="4" customFormat="1" ht="11.25" customHeight="1" x14ac:dyDescent="0.25">
      <c r="A60" s="69"/>
      <c r="B60" s="1"/>
      <c r="C60" s="3"/>
      <c r="D60" s="3"/>
      <c r="E60" s="1"/>
      <c r="F60" s="1"/>
      <c r="G60" s="1"/>
      <c r="H60" s="1"/>
      <c r="I60" s="1"/>
      <c r="J60" s="1"/>
      <c r="R60" s="6"/>
      <c r="S60" s="6"/>
      <c r="T60" s="6"/>
      <c r="U60" s="6"/>
      <c r="V60" s="6"/>
      <c r="W60" s="6"/>
      <c r="X60" s="6"/>
      <c r="Y60" s="6"/>
    </row>
    <row r="61" spans="1:25" s="4" customFormat="1" ht="11.25" customHeight="1" x14ac:dyDescent="0.25">
      <c r="A61" s="69"/>
      <c r="B61" s="1"/>
      <c r="C61" s="3"/>
      <c r="D61" s="3"/>
      <c r="E61" s="1"/>
      <c r="F61" s="1"/>
      <c r="G61" s="1"/>
      <c r="H61" s="1"/>
      <c r="I61" s="1"/>
      <c r="J61" s="1"/>
      <c r="R61" s="6"/>
      <c r="S61" s="6"/>
      <c r="T61" s="6"/>
      <c r="U61" s="6"/>
      <c r="V61" s="6"/>
      <c r="W61" s="6"/>
      <c r="X61" s="6"/>
      <c r="Y61" s="6"/>
    </row>
    <row r="62" spans="1:25" s="4" customFormat="1" ht="11.25" customHeight="1" x14ac:dyDescent="0.25">
      <c r="A62" s="69"/>
      <c r="B62" s="1"/>
      <c r="C62" s="3"/>
      <c r="D62" s="3"/>
      <c r="E62" s="1"/>
      <c r="F62" s="1"/>
      <c r="G62" s="1"/>
      <c r="H62" s="1"/>
      <c r="I62" s="1"/>
      <c r="J62" s="1"/>
      <c r="R62" s="6"/>
      <c r="S62" s="6"/>
      <c r="T62" s="6"/>
      <c r="U62" s="6"/>
      <c r="V62" s="6"/>
      <c r="W62" s="6"/>
      <c r="X62" s="6"/>
      <c r="Y62" s="6"/>
    </row>
    <row r="63" spans="1:25" s="4" customFormat="1" ht="11.25" customHeight="1" x14ac:dyDescent="0.25">
      <c r="A63" s="69"/>
      <c r="B63" s="1"/>
      <c r="C63" s="3"/>
      <c r="D63" s="3"/>
      <c r="E63" s="1"/>
      <c r="F63" s="1"/>
      <c r="G63" s="1"/>
      <c r="H63" s="1"/>
      <c r="I63" s="1"/>
      <c r="J63" s="1"/>
      <c r="R63" s="6"/>
      <c r="S63" s="6"/>
      <c r="T63" s="6"/>
      <c r="U63" s="6"/>
      <c r="V63" s="6"/>
      <c r="W63" s="6"/>
      <c r="X63" s="6"/>
      <c r="Y63" s="6"/>
    </row>
    <row r="64" spans="1:25" s="4" customFormat="1" ht="11.25" customHeight="1" x14ac:dyDescent="0.25">
      <c r="A64" s="69"/>
      <c r="B64" s="1"/>
      <c r="C64" s="3"/>
      <c r="D64" s="3"/>
      <c r="E64" s="1"/>
      <c r="F64" s="1"/>
      <c r="G64" s="1"/>
      <c r="H64" s="1"/>
      <c r="I64" s="1"/>
      <c r="J64" s="1"/>
      <c r="R64" s="6"/>
      <c r="S64" s="6"/>
      <c r="T64" s="6"/>
      <c r="U64" s="6"/>
      <c r="V64" s="6"/>
      <c r="W64" s="6"/>
      <c r="X64" s="6"/>
      <c r="Y64" s="6"/>
    </row>
    <row r="65" spans="1:25" s="4" customFormat="1" ht="11.25" customHeight="1" x14ac:dyDescent="0.25">
      <c r="A65" s="69"/>
      <c r="B65" s="1"/>
      <c r="C65" s="3"/>
      <c r="D65" s="3"/>
      <c r="E65" s="1"/>
      <c r="F65" s="1"/>
      <c r="G65" s="1"/>
      <c r="H65" s="1"/>
      <c r="I65" s="1"/>
      <c r="J65" s="1"/>
      <c r="R65" s="6"/>
      <c r="S65" s="6"/>
      <c r="T65" s="6"/>
      <c r="U65" s="6"/>
      <c r="V65" s="6"/>
      <c r="W65" s="6"/>
      <c r="X65" s="6"/>
      <c r="Y65" s="6"/>
    </row>
    <row r="66" spans="1:25" s="4" customFormat="1" ht="11.25" customHeight="1" x14ac:dyDescent="0.25">
      <c r="A66" s="69"/>
      <c r="B66" s="1"/>
      <c r="C66" s="3"/>
      <c r="D66" s="3"/>
      <c r="E66" s="1"/>
      <c r="F66" s="1"/>
      <c r="G66" s="1"/>
      <c r="H66" s="1"/>
      <c r="I66" s="1"/>
      <c r="J66" s="1"/>
      <c r="R66" s="6"/>
      <c r="S66" s="6"/>
      <c r="T66" s="6"/>
      <c r="U66" s="6"/>
      <c r="V66" s="6"/>
      <c r="W66" s="6"/>
      <c r="X66" s="6"/>
      <c r="Y66" s="6"/>
    </row>
    <row r="67" spans="1:25" s="4" customFormat="1" ht="11.25" customHeight="1" x14ac:dyDescent="0.25">
      <c r="A67" s="69"/>
      <c r="B67" s="1"/>
      <c r="C67" s="3"/>
      <c r="D67" s="3"/>
      <c r="E67" s="1"/>
      <c r="F67" s="1"/>
      <c r="G67" s="1"/>
      <c r="H67" s="1"/>
      <c r="I67" s="1"/>
      <c r="J67" s="1"/>
      <c r="R67" s="6"/>
      <c r="S67" s="6"/>
      <c r="T67" s="6"/>
      <c r="U67" s="6"/>
      <c r="V67" s="6"/>
      <c r="W67" s="6"/>
      <c r="X67" s="6"/>
      <c r="Y67" s="6"/>
    </row>
    <row r="68" spans="1:25" s="4" customFormat="1" ht="11.25" customHeight="1" x14ac:dyDescent="0.25">
      <c r="A68" s="69"/>
      <c r="B68" s="1"/>
      <c r="C68" s="3"/>
      <c r="D68" s="3"/>
      <c r="E68" s="1"/>
      <c r="F68" s="1"/>
      <c r="G68" s="1"/>
      <c r="H68" s="1"/>
      <c r="I68" s="1"/>
      <c r="J68" s="1"/>
      <c r="R68" s="6"/>
      <c r="S68" s="6"/>
      <c r="T68" s="6"/>
      <c r="U68" s="6"/>
      <c r="V68" s="6"/>
      <c r="W68" s="6"/>
      <c r="X68" s="6"/>
      <c r="Y68" s="6"/>
    </row>
    <row r="69" spans="1:25" s="4" customFormat="1" ht="11.25" customHeight="1" x14ac:dyDescent="0.25">
      <c r="A69" s="69"/>
      <c r="B69" s="1"/>
      <c r="C69" s="3"/>
      <c r="D69" s="3"/>
      <c r="E69" s="1"/>
      <c r="F69" s="1"/>
      <c r="G69" s="1"/>
      <c r="H69" s="1"/>
      <c r="I69" s="1"/>
      <c r="J69" s="1"/>
      <c r="R69" s="6"/>
      <c r="S69" s="6"/>
      <c r="T69" s="6"/>
      <c r="U69" s="6"/>
      <c r="V69" s="6"/>
      <c r="W69" s="6"/>
      <c r="X69" s="6"/>
      <c r="Y69" s="6"/>
    </row>
    <row r="70" spans="1:25" s="4" customFormat="1" ht="11.25" customHeight="1" x14ac:dyDescent="0.25">
      <c r="A70" s="69"/>
      <c r="B70" s="1"/>
      <c r="C70" s="3"/>
      <c r="D70" s="3"/>
      <c r="E70" s="1"/>
      <c r="F70" s="1"/>
      <c r="G70" s="1"/>
      <c r="H70" s="1"/>
      <c r="I70" s="1"/>
      <c r="J70" s="1"/>
      <c r="R70" s="6"/>
      <c r="S70" s="6"/>
      <c r="T70" s="6"/>
      <c r="U70" s="6"/>
      <c r="V70" s="6"/>
      <c r="W70" s="6"/>
      <c r="X70" s="6"/>
      <c r="Y70" s="6"/>
    </row>
    <row r="71" spans="1:25" s="4" customFormat="1" ht="11.25" customHeight="1" x14ac:dyDescent="0.25">
      <c r="A71" s="69"/>
      <c r="B71" s="1"/>
      <c r="C71" s="3"/>
      <c r="D71" s="3"/>
      <c r="E71" s="1"/>
      <c r="F71" s="1"/>
      <c r="G71" s="1"/>
      <c r="H71" s="1"/>
      <c r="I71" s="1"/>
      <c r="J71" s="1"/>
      <c r="R71" s="6"/>
      <c r="S71" s="6"/>
      <c r="T71" s="6"/>
      <c r="U71" s="6"/>
      <c r="V71" s="6"/>
      <c r="W71" s="6"/>
      <c r="X71" s="6"/>
      <c r="Y71" s="6"/>
    </row>
    <row r="72" spans="1:25" s="4" customFormat="1" ht="11.25" customHeight="1" x14ac:dyDescent="0.25">
      <c r="A72" s="69"/>
      <c r="B72" s="1"/>
      <c r="C72" s="3"/>
      <c r="D72" s="3"/>
      <c r="E72" s="1"/>
      <c r="F72" s="1"/>
      <c r="G72" s="1"/>
      <c r="H72" s="1"/>
      <c r="I72" s="1"/>
      <c r="J72" s="1"/>
      <c r="R72" s="6"/>
      <c r="S72" s="6"/>
      <c r="T72" s="6"/>
      <c r="U72" s="6"/>
      <c r="V72" s="6"/>
      <c r="W72" s="6"/>
      <c r="X72" s="6"/>
      <c r="Y72" s="6"/>
    </row>
    <row r="73" spans="1:25" s="4" customFormat="1" ht="11.25" customHeight="1" x14ac:dyDescent="0.25">
      <c r="A73" s="69"/>
      <c r="B73" s="1"/>
      <c r="C73" s="3"/>
      <c r="D73" s="3"/>
      <c r="E73" s="1"/>
      <c r="F73" s="1"/>
      <c r="G73" s="1"/>
      <c r="H73" s="1"/>
      <c r="I73" s="1"/>
      <c r="J73" s="1"/>
      <c r="R73" s="6"/>
      <c r="S73" s="6"/>
      <c r="T73" s="6"/>
      <c r="U73" s="6"/>
      <c r="V73" s="6"/>
      <c r="W73" s="6"/>
      <c r="X73" s="6"/>
      <c r="Y73" s="6"/>
    </row>
    <row r="74" spans="1:25" s="4" customFormat="1" ht="11.25" customHeight="1" x14ac:dyDescent="0.25">
      <c r="A74" s="69"/>
      <c r="B74" s="1"/>
      <c r="C74" s="3"/>
      <c r="D74" s="3"/>
      <c r="E74" s="1"/>
      <c r="F74" s="1"/>
      <c r="G74" s="1"/>
      <c r="H74" s="1"/>
      <c r="I74" s="1"/>
      <c r="J74" s="1"/>
      <c r="R74" s="6"/>
      <c r="S74" s="6"/>
      <c r="T74" s="6"/>
      <c r="U74" s="6"/>
      <c r="V74" s="6"/>
      <c r="W74" s="6"/>
      <c r="X74" s="6"/>
      <c r="Y74" s="6"/>
    </row>
    <row r="75" spans="1:25" s="4" customFormat="1" ht="11.25" customHeight="1" x14ac:dyDescent="0.25">
      <c r="A75" s="69"/>
      <c r="B75" s="1"/>
      <c r="C75" s="3"/>
      <c r="D75" s="3"/>
      <c r="E75" s="1"/>
      <c r="F75" s="1"/>
      <c r="G75" s="1"/>
      <c r="H75" s="1"/>
      <c r="I75" s="1"/>
      <c r="J75" s="1"/>
      <c r="R75" s="6"/>
      <c r="S75" s="6"/>
      <c r="T75" s="6"/>
      <c r="U75" s="6"/>
      <c r="V75" s="6"/>
      <c r="W75" s="6"/>
      <c r="X75" s="6"/>
      <c r="Y75" s="6"/>
    </row>
    <row r="76" spans="1:25" s="4" customFormat="1" ht="11.25" customHeight="1" x14ac:dyDescent="0.25">
      <c r="A76" s="69"/>
      <c r="B76" s="1"/>
      <c r="C76" s="3"/>
      <c r="D76" s="3"/>
      <c r="E76" s="1"/>
      <c r="F76" s="1"/>
      <c r="G76" s="1"/>
      <c r="H76" s="1"/>
      <c r="I76" s="1"/>
      <c r="J76" s="1"/>
      <c r="R76" s="6"/>
      <c r="S76" s="6"/>
      <c r="T76" s="6"/>
      <c r="U76" s="6"/>
      <c r="V76" s="6"/>
      <c r="W76" s="6"/>
      <c r="X76" s="6"/>
      <c r="Y76" s="6"/>
    </row>
    <row r="77" spans="1:25" s="4" customFormat="1" ht="11.25" customHeight="1" x14ac:dyDescent="0.25">
      <c r="A77" s="69"/>
      <c r="B77" s="1"/>
      <c r="C77" s="3"/>
      <c r="D77" s="3"/>
      <c r="E77" s="1"/>
      <c r="F77" s="1"/>
      <c r="G77" s="1"/>
      <c r="H77" s="1"/>
      <c r="I77" s="1"/>
      <c r="J77" s="1"/>
      <c r="R77" s="6"/>
      <c r="S77" s="6"/>
      <c r="T77" s="6"/>
      <c r="U77" s="6"/>
      <c r="V77" s="6"/>
      <c r="W77" s="6"/>
      <c r="X77" s="6"/>
      <c r="Y77" s="6"/>
    </row>
    <row r="78" spans="1:25" s="4" customFormat="1" ht="11.25" customHeight="1" x14ac:dyDescent="0.25">
      <c r="A78" s="69"/>
      <c r="B78" s="1"/>
      <c r="C78" s="3"/>
      <c r="D78" s="3"/>
      <c r="E78" s="1"/>
      <c r="F78" s="1"/>
      <c r="G78" s="1"/>
      <c r="H78" s="1"/>
      <c r="I78" s="1"/>
      <c r="J78" s="1"/>
      <c r="R78" s="6"/>
      <c r="S78" s="6"/>
      <c r="T78" s="6"/>
      <c r="U78" s="6"/>
      <c r="V78" s="6"/>
      <c r="W78" s="6"/>
      <c r="X78" s="6"/>
      <c r="Y78" s="6"/>
    </row>
    <row r="79" spans="1:25" s="4" customFormat="1" ht="11.25" customHeight="1" x14ac:dyDescent="0.25">
      <c r="A79" s="69"/>
      <c r="B79" s="1"/>
      <c r="C79" s="3"/>
      <c r="D79" s="3"/>
      <c r="E79" s="1"/>
      <c r="F79" s="1"/>
      <c r="G79" s="1"/>
      <c r="H79" s="1"/>
      <c r="I79" s="1"/>
      <c r="J79" s="1"/>
      <c r="R79" s="6"/>
      <c r="S79" s="6"/>
      <c r="T79" s="6"/>
      <c r="U79" s="6"/>
      <c r="V79" s="6"/>
      <c r="W79" s="6"/>
      <c r="X79" s="6"/>
      <c r="Y79" s="6"/>
    </row>
    <row r="80" spans="1:25" s="4" customFormat="1" ht="11.25" customHeight="1" x14ac:dyDescent="0.25">
      <c r="A80" s="69"/>
      <c r="B80" s="1"/>
      <c r="C80" s="3"/>
      <c r="D80" s="3"/>
      <c r="E80" s="1"/>
      <c r="F80" s="1"/>
      <c r="G80" s="1"/>
      <c r="H80" s="1"/>
      <c r="I80" s="1"/>
      <c r="J80" s="1"/>
      <c r="R80" s="6"/>
      <c r="S80" s="6"/>
      <c r="T80" s="6"/>
      <c r="U80" s="6"/>
      <c r="V80" s="6"/>
      <c r="W80" s="6"/>
      <c r="X80" s="6"/>
      <c r="Y80" s="6"/>
    </row>
    <row r="81" spans="1:25" s="4" customFormat="1" ht="11.25" customHeight="1" x14ac:dyDescent="0.25">
      <c r="A81" s="69"/>
      <c r="B81" s="1"/>
      <c r="C81" s="3"/>
      <c r="D81" s="3"/>
      <c r="E81" s="1"/>
      <c r="F81" s="1"/>
      <c r="G81" s="1"/>
      <c r="H81" s="1"/>
      <c r="I81" s="1"/>
      <c r="J81" s="1"/>
      <c r="R81" s="6"/>
      <c r="S81" s="6"/>
      <c r="T81" s="6"/>
      <c r="U81" s="6"/>
      <c r="V81" s="6"/>
      <c r="W81" s="6"/>
      <c r="X81" s="6"/>
      <c r="Y81" s="6"/>
    </row>
    <row r="82" spans="1:25" s="4" customFormat="1" ht="11.25" customHeight="1" x14ac:dyDescent="0.25">
      <c r="A82" s="69"/>
      <c r="B82" s="1"/>
      <c r="C82" s="3"/>
      <c r="D82" s="3"/>
      <c r="E82" s="1"/>
      <c r="F82" s="1"/>
      <c r="G82" s="1"/>
      <c r="H82" s="1"/>
      <c r="I82" s="1"/>
      <c r="J82" s="1"/>
      <c r="R82" s="6"/>
      <c r="S82" s="6"/>
      <c r="T82" s="6"/>
      <c r="U82" s="6"/>
      <c r="V82" s="6"/>
      <c r="W82" s="6"/>
      <c r="X82" s="6"/>
      <c r="Y82" s="6"/>
    </row>
    <row r="83" spans="1:25" s="4" customFormat="1" ht="11.25" customHeight="1" x14ac:dyDescent="0.25">
      <c r="A83" s="69"/>
      <c r="B83" s="1"/>
      <c r="C83" s="3"/>
      <c r="D83" s="3"/>
      <c r="E83" s="1"/>
      <c r="F83" s="1"/>
      <c r="G83" s="1"/>
      <c r="H83" s="1"/>
      <c r="I83" s="1"/>
      <c r="J83" s="1"/>
      <c r="R83" s="6"/>
      <c r="S83" s="6"/>
      <c r="T83" s="6"/>
      <c r="U83" s="6"/>
      <c r="V83" s="6"/>
      <c r="W83" s="6"/>
      <c r="X83" s="6"/>
      <c r="Y83" s="6"/>
    </row>
    <row r="84" spans="1:25" s="4" customFormat="1" x14ac:dyDescent="0.25">
      <c r="A84" s="69"/>
      <c r="B84" s="1"/>
      <c r="C84" s="3"/>
      <c r="D84" s="3"/>
      <c r="E84" s="1"/>
      <c r="F84" s="1"/>
      <c r="G84" s="1"/>
      <c r="H84" s="1"/>
      <c r="I84" s="1"/>
      <c r="J84" s="1"/>
      <c r="R84" s="6"/>
      <c r="S84" s="6"/>
      <c r="T84" s="6"/>
      <c r="U84" s="6"/>
      <c r="V84" s="6"/>
      <c r="W84" s="6"/>
      <c r="X84" s="6"/>
      <c r="Y84" s="6"/>
    </row>
    <row r="85" spans="1:25" s="4" customFormat="1" x14ac:dyDescent="0.25">
      <c r="A85" s="69"/>
      <c r="B85" s="1"/>
      <c r="C85" s="3"/>
      <c r="D85" s="3"/>
      <c r="E85" s="1"/>
      <c r="F85" s="1"/>
      <c r="G85" s="1"/>
      <c r="H85" s="1"/>
      <c r="I85" s="1"/>
      <c r="J85" s="1"/>
      <c r="R85" s="6"/>
      <c r="S85" s="6"/>
      <c r="T85" s="6"/>
      <c r="U85" s="6"/>
      <c r="V85" s="6"/>
      <c r="W85" s="6"/>
      <c r="X85" s="6"/>
      <c r="Y85" s="6"/>
    </row>
    <row r="86" spans="1:25" s="4" customFormat="1" x14ac:dyDescent="0.25">
      <c r="A86" s="69"/>
      <c r="B86" s="1"/>
      <c r="C86" s="3"/>
      <c r="D86" s="3"/>
      <c r="E86" s="1"/>
      <c r="F86" s="1"/>
      <c r="G86" s="1"/>
      <c r="H86" s="1"/>
      <c r="I86" s="1"/>
      <c r="J86" s="1"/>
      <c r="R86" s="6"/>
      <c r="S86" s="6"/>
      <c r="T86" s="6"/>
      <c r="U86" s="6"/>
      <c r="V86" s="6"/>
      <c r="W86" s="6"/>
      <c r="X86" s="6"/>
      <c r="Y86" s="6"/>
    </row>
    <row r="87" spans="1:25" s="4" customFormat="1" x14ac:dyDescent="0.25">
      <c r="A87" s="69"/>
      <c r="B87" s="1"/>
      <c r="C87" s="3"/>
      <c r="D87" s="3"/>
      <c r="E87" s="1"/>
      <c r="F87" s="1"/>
      <c r="G87" s="1"/>
      <c r="H87" s="1"/>
      <c r="I87" s="1"/>
      <c r="J87" s="1"/>
      <c r="R87" s="6"/>
      <c r="S87" s="6"/>
      <c r="T87" s="6"/>
      <c r="U87" s="6"/>
      <c r="V87" s="6"/>
      <c r="W87" s="6"/>
      <c r="X87" s="6"/>
      <c r="Y87" s="6"/>
    </row>
    <row r="88" spans="1:25" s="4" customFormat="1" x14ac:dyDescent="0.25">
      <c r="A88" s="69"/>
      <c r="B88" s="1"/>
      <c r="C88" s="3"/>
      <c r="D88" s="3"/>
      <c r="E88" s="1"/>
      <c r="F88" s="1"/>
      <c r="G88" s="1"/>
      <c r="H88" s="1"/>
      <c r="I88" s="1"/>
      <c r="J88" s="1"/>
      <c r="R88" s="6"/>
      <c r="S88" s="6"/>
      <c r="T88" s="6"/>
      <c r="U88" s="6"/>
      <c r="V88" s="6"/>
      <c r="W88" s="6"/>
      <c r="X88" s="6"/>
      <c r="Y88" s="6"/>
    </row>
    <row r="89" spans="1:25" s="4" customFormat="1" x14ac:dyDescent="0.25">
      <c r="A89" s="69"/>
      <c r="B89" s="1"/>
      <c r="C89" s="3"/>
      <c r="D89" s="3"/>
      <c r="E89" s="1"/>
      <c r="F89" s="1"/>
      <c r="G89" s="1"/>
      <c r="H89" s="1"/>
      <c r="I89" s="1"/>
      <c r="J89" s="1"/>
      <c r="R89" s="6"/>
      <c r="S89" s="6"/>
      <c r="T89" s="6"/>
      <c r="U89" s="6"/>
      <c r="V89" s="6"/>
      <c r="W89" s="6"/>
      <c r="X89" s="6"/>
      <c r="Y89" s="6"/>
    </row>
    <row r="90" spans="1:25" s="4" customFormat="1" x14ac:dyDescent="0.25">
      <c r="A90" s="69"/>
      <c r="B90" s="1"/>
      <c r="C90" s="3"/>
      <c r="D90" s="3"/>
      <c r="E90" s="1"/>
      <c r="F90" s="1"/>
      <c r="G90" s="1"/>
      <c r="H90" s="1"/>
      <c r="I90" s="1"/>
      <c r="J90" s="1"/>
      <c r="R90" s="6"/>
      <c r="S90" s="6"/>
      <c r="T90" s="6"/>
      <c r="U90" s="6"/>
      <c r="V90" s="6"/>
      <c r="W90" s="6"/>
      <c r="X90" s="6"/>
      <c r="Y90" s="6"/>
    </row>
    <row r="91" spans="1:25" s="4" customFormat="1" x14ac:dyDescent="0.25">
      <c r="A91" s="69"/>
      <c r="B91" s="1"/>
      <c r="C91" s="3"/>
      <c r="D91" s="3"/>
      <c r="E91" s="1"/>
      <c r="F91" s="1"/>
      <c r="G91" s="1"/>
      <c r="H91" s="1"/>
      <c r="I91" s="1"/>
      <c r="J91" s="1"/>
      <c r="R91" s="6"/>
      <c r="S91" s="6"/>
      <c r="T91" s="6"/>
      <c r="U91" s="6"/>
      <c r="V91" s="6"/>
      <c r="W91" s="6"/>
      <c r="X91" s="6"/>
      <c r="Y91" s="6"/>
    </row>
    <row r="92" spans="1:25" s="4" customFormat="1" x14ac:dyDescent="0.25">
      <c r="A92" s="69"/>
      <c r="B92" s="1"/>
      <c r="C92" s="3"/>
      <c r="D92" s="3"/>
      <c r="E92" s="1"/>
      <c r="F92" s="1"/>
      <c r="G92" s="1"/>
      <c r="H92" s="1"/>
      <c r="I92" s="1"/>
      <c r="J92" s="1"/>
      <c r="R92" s="6"/>
      <c r="S92" s="6"/>
      <c r="T92" s="6"/>
      <c r="U92" s="6"/>
      <c r="V92" s="6"/>
      <c r="W92" s="6"/>
      <c r="X92" s="6"/>
      <c r="Y92" s="6"/>
    </row>
    <row r="93" spans="1:25" s="4" customFormat="1" x14ac:dyDescent="0.25">
      <c r="A93" s="69"/>
      <c r="B93" s="1"/>
      <c r="C93" s="3"/>
      <c r="D93" s="3"/>
      <c r="E93" s="1"/>
      <c r="F93" s="1"/>
      <c r="G93" s="1"/>
      <c r="H93" s="1"/>
      <c r="I93" s="1"/>
      <c r="J93" s="1"/>
      <c r="R93" s="6"/>
      <c r="S93" s="6"/>
      <c r="T93" s="6"/>
      <c r="U93" s="6"/>
      <c r="V93" s="6"/>
      <c r="W93" s="6"/>
      <c r="X93" s="6"/>
      <c r="Y93" s="6"/>
    </row>
    <row r="94" spans="1:25" s="4" customFormat="1" x14ac:dyDescent="0.25">
      <c r="A94" s="69"/>
      <c r="B94" s="1"/>
      <c r="C94" s="3"/>
      <c r="D94" s="3"/>
      <c r="E94" s="1"/>
      <c r="F94" s="1"/>
      <c r="G94" s="1"/>
      <c r="H94" s="1"/>
      <c r="I94" s="1"/>
      <c r="J94" s="1"/>
      <c r="R94" s="6"/>
      <c r="S94" s="6"/>
      <c r="T94" s="6"/>
      <c r="U94" s="6"/>
      <c r="V94" s="6"/>
      <c r="W94" s="6"/>
      <c r="X94" s="6"/>
      <c r="Y94" s="6"/>
    </row>
    <row r="95" spans="1:25" s="4" customFormat="1" x14ac:dyDescent="0.25">
      <c r="A95" s="69"/>
      <c r="B95" s="1"/>
      <c r="C95" s="3"/>
      <c r="D95" s="3"/>
      <c r="E95" s="1"/>
      <c r="F95" s="1"/>
      <c r="G95" s="1"/>
      <c r="H95" s="1"/>
      <c r="I95" s="1"/>
      <c r="J95" s="1"/>
      <c r="R95" s="6"/>
      <c r="S95" s="6"/>
      <c r="T95" s="6"/>
      <c r="U95" s="6"/>
      <c r="V95" s="6"/>
      <c r="W95" s="6"/>
      <c r="X95" s="6"/>
      <c r="Y95" s="6"/>
    </row>
    <row r="96" spans="1:25" s="4" customFormat="1" x14ac:dyDescent="0.25">
      <c r="A96" s="69"/>
      <c r="B96" s="1"/>
      <c r="C96" s="3"/>
      <c r="D96" s="3"/>
      <c r="E96" s="1"/>
      <c r="F96" s="1"/>
      <c r="G96" s="1"/>
      <c r="H96" s="1"/>
      <c r="I96" s="1"/>
      <c r="J96" s="1"/>
      <c r="R96" s="6"/>
      <c r="S96" s="6"/>
      <c r="T96" s="6"/>
      <c r="U96" s="6"/>
      <c r="V96" s="6"/>
      <c r="W96" s="6"/>
      <c r="X96" s="6"/>
      <c r="Y96" s="6"/>
    </row>
    <row r="97" spans="1:25" s="4" customFormat="1" x14ac:dyDescent="0.25">
      <c r="A97" s="69"/>
      <c r="B97" s="1"/>
      <c r="C97" s="3"/>
      <c r="D97" s="3"/>
      <c r="E97" s="1"/>
      <c r="F97" s="1"/>
      <c r="G97" s="1"/>
      <c r="H97" s="1"/>
      <c r="I97" s="1"/>
      <c r="J97" s="1"/>
      <c r="R97" s="6"/>
      <c r="S97" s="6"/>
      <c r="T97" s="6"/>
      <c r="U97" s="6"/>
      <c r="V97" s="6"/>
      <c r="W97" s="6"/>
      <c r="X97" s="6"/>
      <c r="Y97" s="6"/>
    </row>
    <row r="98" spans="1:25" s="4" customFormat="1" x14ac:dyDescent="0.25">
      <c r="A98" s="69"/>
      <c r="B98" s="1"/>
      <c r="C98" s="3"/>
      <c r="D98" s="3"/>
      <c r="E98" s="1"/>
      <c r="F98" s="1"/>
      <c r="G98" s="1"/>
      <c r="H98" s="1"/>
      <c r="I98" s="1"/>
      <c r="J98" s="1"/>
      <c r="R98" s="6"/>
      <c r="S98" s="6"/>
      <c r="T98" s="6"/>
      <c r="U98" s="6"/>
      <c r="V98" s="6"/>
      <c r="W98" s="6"/>
      <c r="X98" s="6"/>
      <c r="Y98" s="6"/>
    </row>
    <row r="99" spans="1:25" s="4" customFormat="1" x14ac:dyDescent="0.25">
      <c r="A99" s="69"/>
      <c r="B99" s="1"/>
      <c r="C99" s="3"/>
      <c r="D99" s="3"/>
      <c r="E99" s="1"/>
      <c r="F99" s="1"/>
      <c r="G99" s="1"/>
      <c r="H99" s="1"/>
      <c r="I99" s="1"/>
      <c r="J99" s="1"/>
      <c r="R99" s="6"/>
      <c r="S99" s="6"/>
      <c r="T99" s="6"/>
      <c r="U99" s="6"/>
      <c r="V99" s="6"/>
      <c r="W99" s="6"/>
      <c r="X99" s="6"/>
      <c r="Y99" s="6"/>
    </row>
    <row r="100" spans="1:25" s="4" customFormat="1" x14ac:dyDescent="0.25">
      <c r="A100" s="69"/>
      <c r="B100" s="1"/>
      <c r="C100" s="3"/>
      <c r="D100" s="3"/>
      <c r="E100" s="1"/>
      <c r="F100" s="1"/>
      <c r="G100" s="1"/>
      <c r="H100" s="1"/>
      <c r="I100" s="1"/>
      <c r="J100" s="1"/>
      <c r="R100" s="6"/>
      <c r="S100" s="6"/>
      <c r="T100" s="6"/>
      <c r="U100" s="6"/>
      <c r="V100" s="6"/>
      <c r="W100" s="6"/>
      <c r="X100" s="6"/>
      <c r="Y100" s="6"/>
    </row>
    <row r="101" spans="1:25" s="4" customFormat="1" x14ac:dyDescent="0.25">
      <c r="A101" s="69"/>
      <c r="B101" s="1"/>
      <c r="C101" s="3"/>
      <c r="D101" s="3"/>
      <c r="E101" s="1"/>
      <c r="F101" s="1"/>
      <c r="G101" s="1"/>
      <c r="H101" s="1"/>
      <c r="I101" s="1"/>
      <c r="J101" s="1"/>
      <c r="R101" s="6"/>
      <c r="S101" s="6"/>
      <c r="T101" s="6"/>
      <c r="U101" s="6"/>
      <c r="V101" s="6"/>
      <c r="W101" s="6"/>
      <c r="X101" s="6"/>
      <c r="Y101" s="6"/>
    </row>
    <row r="102" spans="1:25" s="4" customFormat="1" x14ac:dyDescent="0.25">
      <c r="A102" s="69"/>
      <c r="B102" s="1"/>
      <c r="C102" s="3"/>
      <c r="D102" s="3"/>
      <c r="E102" s="1"/>
      <c r="F102" s="1"/>
      <c r="G102" s="1"/>
      <c r="H102" s="1"/>
      <c r="I102" s="1"/>
      <c r="J102" s="1"/>
      <c r="R102" s="6"/>
      <c r="S102" s="6"/>
      <c r="T102" s="6"/>
      <c r="U102" s="6"/>
      <c r="V102" s="6"/>
      <c r="W102" s="6"/>
      <c r="X102" s="6"/>
      <c r="Y102" s="6"/>
    </row>
    <row r="103" spans="1:25" s="4" customFormat="1" x14ac:dyDescent="0.25">
      <c r="A103" s="69"/>
      <c r="B103" s="1"/>
      <c r="C103" s="3"/>
      <c r="D103" s="3"/>
      <c r="E103" s="1"/>
      <c r="F103" s="1"/>
      <c r="G103" s="1"/>
      <c r="H103" s="1"/>
      <c r="I103" s="1"/>
      <c r="J103" s="1"/>
      <c r="R103" s="6"/>
      <c r="S103" s="6"/>
      <c r="T103" s="6"/>
      <c r="U103" s="6"/>
      <c r="V103" s="6"/>
      <c r="W103" s="6"/>
      <c r="X103" s="6"/>
      <c r="Y103" s="6"/>
    </row>
    <row r="104" spans="1:25" s="4" customFormat="1" x14ac:dyDescent="0.25">
      <c r="A104" s="69"/>
      <c r="B104" s="1"/>
      <c r="C104" s="3"/>
      <c r="D104" s="3"/>
      <c r="E104" s="1"/>
      <c r="F104" s="1"/>
      <c r="G104" s="1"/>
      <c r="H104" s="1"/>
      <c r="I104" s="1"/>
      <c r="J104" s="1"/>
      <c r="R104" s="6"/>
      <c r="S104" s="6"/>
      <c r="T104" s="6"/>
      <c r="U104" s="6"/>
      <c r="V104" s="6"/>
      <c r="W104" s="6"/>
      <c r="X104" s="6"/>
      <c r="Y104" s="6"/>
    </row>
    <row r="105" spans="1:25" s="4" customFormat="1" x14ac:dyDescent="0.25">
      <c r="A105" s="69"/>
      <c r="B105" s="1"/>
      <c r="C105" s="3"/>
      <c r="D105" s="3"/>
      <c r="E105" s="1"/>
      <c r="F105" s="1"/>
      <c r="G105" s="1"/>
      <c r="H105" s="1"/>
      <c r="I105" s="1"/>
      <c r="J105" s="1"/>
      <c r="R105" s="6"/>
      <c r="S105" s="6"/>
      <c r="T105" s="6"/>
      <c r="U105" s="6"/>
      <c r="V105" s="6"/>
      <c r="W105" s="6"/>
      <c r="X105" s="6"/>
      <c r="Y105" s="6"/>
    </row>
    <row r="106" spans="1:25" s="4" customFormat="1" x14ac:dyDescent="0.25">
      <c r="A106" s="69"/>
      <c r="B106" s="1"/>
      <c r="C106" s="3"/>
      <c r="D106" s="3"/>
      <c r="E106" s="1"/>
      <c r="F106" s="1"/>
      <c r="G106" s="1"/>
      <c r="H106" s="1"/>
      <c r="I106" s="1"/>
      <c r="J106" s="1"/>
      <c r="R106" s="6"/>
      <c r="S106" s="6"/>
      <c r="T106" s="6"/>
      <c r="U106" s="6"/>
      <c r="V106" s="6"/>
      <c r="W106" s="6"/>
      <c r="X106" s="6"/>
      <c r="Y106" s="6"/>
    </row>
    <row r="107" spans="1:25" s="4" customFormat="1" x14ac:dyDescent="0.25">
      <c r="A107" s="69"/>
      <c r="B107" s="1"/>
      <c r="C107" s="3"/>
      <c r="D107" s="3"/>
      <c r="E107" s="1"/>
      <c r="F107" s="1"/>
      <c r="G107" s="1"/>
      <c r="H107" s="1"/>
      <c r="I107" s="1"/>
      <c r="J107" s="1"/>
      <c r="R107" s="6"/>
      <c r="S107" s="6"/>
      <c r="T107" s="6"/>
      <c r="U107" s="6"/>
      <c r="V107" s="6"/>
      <c r="W107" s="6"/>
      <c r="X107" s="6"/>
      <c r="Y107" s="6"/>
    </row>
    <row r="108" spans="1:25" s="4" customFormat="1" x14ac:dyDescent="0.25">
      <c r="A108" s="69"/>
      <c r="B108" s="1"/>
      <c r="C108" s="3"/>
      <c r="D108" s="3"/>
      <c r="E108" s="1"/>
      <c r="F108" s="1"/>
      <c r="G108" s="1"/>
      <c r="H108" s="1"/>
      <c r="I108" s="1"/>
      <c r="J108" s="1"/>
      <c r="R108" s="6"/>
      <c r="S108" s="6"/>
      <c r="T108" s="6"/>
      <c r="U108" s="6"/>
      <c r="V108" s="6"/>
      <c r="W108" s="6"/>
      <c r="X108" s="6"/>
      <c r="Y108" s="6"/>
    </row>
    <row r="109" spans="1:25" s="4" customFormat="1" x14ac:dyDescent="0.25">
      <c r="A109" s="69"/>
      <c r="B109" s="1"/>
      <c r="C109" s="3"/>
      <c r="D109" s="3"/>
      <c r="E109" s="1"/>
      <c r="F109" s="1"/>
      <c r="G109" s="1"/>
      <c r="H109" s="1"/>
      <c r="I109" s="1"/>
      <c r="J109" s="1"/>
      <c r="R109" s="6"/>
      <c r="S109" s="6"/>
      <c r="T109" s="6"/>
      <c r="U109" s="6"/>
      <c r="V109" s="6"/>
      <c r="W109" s="6"/>
      <c r="X109" s="6"/>
      <c r="Y109" s="6"/>
    </row>
    <row r="110" spans="1:25" s="4" customFormat="1" x14ac:dyDescent="0.25">
      <c r="A110" s="69"/>
      <c r="B110" s="1"/>
      <c r="C110" s="3"/>
      <c r="D110" s="3"/>
      <c r="E110" s="1"/>
      <c r="F110" s="1"/>
      <c r="G110" s="1"/>
      <c r="H110" s="1"/>
      <c r="I110" s="1"/>
      <c r="J110" s="1"/>
      <c r="R110" s="6"/>
      <c r="S110" s="6"/>
      <c r="T110" s="6"/>
      <c r="U110" s="6"/>
      <c r="V110" s="6"/>
      <c r="W110" s="6"/>
      <c r="X110" s="6"/>
      <c r="Y110" s="6"/>
    </row>
    <row r="111" spans="1:25" s="4" customFormat="1" x14ac:dyDescent="0.25">
      <c r="A111" s="69"/>
      <c r="B111" s="1"/>
      <c r="C111" s="3"/>
      <c r="D111" s="3"/>
      <c r="E111" s="1"/>
      <c r="F111" s="1"/>
      <c r="G111" s="1"/>
      <c r="H111" s="1"/>
      <c r="I111" s="1"/>
      <c r="J111" s="1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K112" s="4"/>
      <c r="L112" s="4"/>
      <c r="M112" s="4"/>
      <c r="N112" s="4"/>
    </row>
    <row r="113" spans="11:13" x14ac:dyDescent="0.25">
      <c r="K113" s="4"/>
      <c r="L113" s="4"/>
      <c r="M113" s="4"/>
    </row>
    <row r="114" spans="11:13" x14ac:dyDescent="0.25">
      <c r="K114" s="4"/>
      <c r="L114" s="4"/>
    </row>
  </sheetData>
  <mergeCells count="16">
    <mergeCell ref="E29:F34"/>
    <mergeCell ref="M32:N36"/>
    <mergeCell ref="C36:D36"/>
    <mergeCell ref="E21:F21"/>
    <mergeCell ref="D22:F23"/>
    <mergeCell ref="G22:H22"/>
    <mergeCell ref="G23:I24"/>
    <mergeCell ref="G25:G26"/>
    <mergeCell ref="H25:H26"/>
    <mergeCell ref="I25:I26"/>
    <mergeCell ref="D20:E20"/>
    <mergeCell ref="I1:L1"/>
    <mergeCell ref="C8:D8"/>
    <mergeCell ref="F9:F10"/>
    <mergeCell ref="I9:I10"/>
    <mergeCell ref="D11:E12"/>
  </mergeCells>
  <conditionalFormatting sqref="C3:C6">
    <cfRule type="expression" dxfId="144" priority="41">
      <formula>IF($A$2=0,1,0)</formula>
    </cfRule>
  </conditionalFormatting>
  <conditionalFormatting sqref="C9:C13">
    <cfRule type="expression" dxfId="143" priority="23">
      <formula>IF($A$7=0,1,0)</formula>
    </cfRule>
  </conditionalFormatting>
  <conditionalFormatting sqref="C11">
    <cfRule type="expression" dxfId="142" priority="13">
      <formula>IF(AND(ISNUMBER(C11),OR(C11&lt;J17,C11&gt;J18)),1,0)</formula>
    </cfRule>
    <cfRule type="expression" dxfId="141" priority="14">
      <formula>IF(AND(ISNUMBER($C11),OR(C11&lt;J19,C11&gt;J20)),1,0)</formula>
    </cfRule>
  </conditionalFormatting>
  <conditionalFormatting sqref="C11:C13">
    <cfRule type="expression" dxfId="140" priority="36">
      <formula>IF(ISBLANK(C11),0,IF(A11&gt;0,1,0))</formula>
    </cfRule>
  </conditionalFormatting>
  <conditionalFormatting sqref="C17:C23">
    <cfRule type="expression" dxfId="139" priority="24">
      <formula>IF($A$14=0,1,0)</formula>
    </cfRule>
  </conditionalFormatting>
  <conditionalFormatting sqref="C20">
    <cfRule type="expression" dxfId="138" priority="35">
      <formula>IF(ISBLANK(C20),0,IF(A20&gt;0,1,0))</formula>
    </cfRule>
  </conditionalFormatting>
  <conditionalFormatting sqref="C27">
    <cfRule type="expression" dxfId="137" priority="17">
      <formula>IF($C$27&lt;MAX(D27:E27),1,0)</formula>
    </cfRule>
  </conditionalFormatting>
  <conditionalFormatting sqref="C29:C34">
    <cfRule type="expression" dxfId="136" priority="42">
      <formula>IF($A$24=0,1,0)</formula>
    </cfRule>
  </conditionalFormatting>
  <conditionalFormatting sqref="C31">
    <cfRule type="expression" dxfId="135" priority="31">
      <formula>IF(ISBLANK(C31),0,IF(A31&gt;0,1,0))</formula>
    </cfRule>
  </conditionalFormatting>
  <conditionalFormatting sqref="C34">
    <cfRule type="expression" dxfId="134" priority="30">
      <formula>IF(ISBLANK(C34),0,IF(A34&gt;0,1,0))</formula>
    </cfRule>
  </conditionalFormatting>
  <conditionalFormatting sqref="C8:D8">
    <cfRule type="expression" dxfId="133" priority="40">
      <formula>IF($A$7=0,1,0)</formula>
    </cfRule>
  </conditionalFormatting>
  <conditionalFormatting sqref="C15:D15">
    <cfRule type="expression" dxfId="132" priority="38">
      <formula>IF(OR(ISBLANK($C15),ISBLANK($D15)),0,IF(OR(C15&lt;2,C15&gt;30),1,0))</formula>
    </cfRule>
  </conditionalFormatting>
  <conditionalFormatting sqref="C15:D16">
    <cfRule type="expression" dxfId="131" priority="10">
      <formula>IF($A$14=0,1,0)</formula>
    </cfRule>
  </conditionalFormatting>
  <conditionalFormatting sqref="C16:D16">
    <cfRule type="expression" dxfId="130" priority="11">
      <formula>IF(OR(ISBLANK($C16),ISBLANK($D16)),0,IF(OR(C16&lt;15,C16&gt;100),1,0))</formula>
    </cfRule>
  </conditionalFormatting>
  <conditionalFormatting sqref="C36:D36">
    <cfRule type="expression" dxfId="129" priority="29">
      <formula>IF(A36=0,1,0)</formula>
    </cfRule>
  </conditionalFormatting>
  <conditionalFormatting sqref="C26:E27">
    <cfRule type="cellIs" dxfId="128" priority="8" operator="greaterThan">
      <formula>100</formula>
    </cfRule>
  </conditionalFormatting>
  <conditionalFormatting sqref="C26:E28">
    <cfRule type="expression" dxfId="127" priority="9">
      <formula>IF($A$24=0,1,0)</formula>
    </cfRule>
  </conditionalFormatting>
  <conditionalFormatting sqref="C28:E28">
    <cfRule type="cellIs" dxfId="126" priority="32" operator="greaterThan">
      <formula>400</formula>
    </cfRule>
  </conditionalFormatting>
  <conditionalFormatting sqref="D11">
    <cfRule type="expression" dxfId="125" priority="12">
      <formula>IF(AND(ISNUMBER(C11),OR(C11&lt;J17,C11&gt;J18)),1,0)</formula>
    </cfRule>
  </conditionalFormatting>
  <conditionalFormatting sqref="D18">
    <cfRule type="expression" dxfId="124" priority="21">
      <formula>IF($A14=0,1,0)</formula>
    </cfRule>
  </conditionalFormatting>
  <conditionalFormatting sqref="D26">
    <cfRule type="expression" dxfId="123" priority="5">
      <formula>IF(AND(ISNUMBER(D26),F26=0,C26-D26&gt;10),1,0)</formula>
    </cfRule>
    <cfRule type="expression" dxfId="122" priority="7">
      <formula>IF(D26&gt;C26,1,0)</formula>
    </cfRule>
  </conditionalFormatting>
  <conditionalFormatting sqref="D28">
    <cfRule type="expression" dxfId="121" priority="27">
      <formula>IF(D28&gt;C28,1,0)</formula>
    </cfRule>
  </conditionalFormatting>
  <conditionalFormatting sqref="D19:E19">
    <cfRule type="expression" dxfId="120" priority="37">
      <formula>IF($A$14=0,1,0)</formula>
    </cfRule>
  </conditionalFormatting>
  <conditionalFormatting sqref="E18">
    <cfRule type="expression" dxfId="119" priority="20">
      <formula>IF(A14=0,1,0)</formula>
    </cfRule>
    <cfRule type="expression" dxfId="118" priority="19" stopIfTrue="1">
      <formula>IF(E18&lt;MAX(C18:D18),1,0)</formula>
    </cfRule>
  </conditionalFormatting>
  <conditionalFormatting sqref="E26">
    <cfRule type="expression" dxfId="117" priority="4">
      <formula>IF(AND(ISNUMBER(E26),F26=0,E26-C26&gt;10),1,0)</formula>
    </cfRule>
    <cfRule type="expression" dxfId="116" priority="6">
      <formula>IF(AND(ISNUMBER(E26),OR(E26&lt;D26,E26&lt;C26)),1,0)</formula>
    </cfRule>
  </conditionalFormatting>
  <conditionalFormatting sqref="E28">
    <cfRule type="expression" dxfId="115" priority="26">
      <formula>IF(AND(ISNUMBER(E28),OR(E28&lt;C28,E28&lt;D28)),1,0)</formula>
    </cfRule>
  </conditionalFormatting>
  <conditionalFormatting sqref="E21:F21">
    <cfRule type="containsBlanks" dxfId="114" priority="3">
      <formula>LEN(TRIM(E21))=0</formula>
    </cfRule>
  </conditionalFormatting>
  <conditionalFormatting sqref="E29:F34">
    <cfRule type="containsErrors" dxfId="113" priority="25">
      <formula>ISERROR(E29)</formula>
    </cfRule>
    <cfRule type="expression" dxfId="112" priority="28">
      <formula>IF(E29=" ",0,1)</formula>
    </cfRule>
  </conditionalFormatting>
  <conditionalFormatting sqref="F7:F8 C9 F11">
    <cfRule type="containsErrors" dxfId="111" priority="39">
      <formula>ISERROR(C7)</formula>
    </cfRule>
  </conditionalFormatting>
  <conditionalFormatting sqref="J17:J20">
    <cfRule type="containsErrors" dxfId="110" priority="15">
      <formula>ISERROR(J17)</formula>
    </cfRule>
  </conditionalFormatting>
  <conditionalFormatting sqref="E26">
    <cfRule type="expression" dxfId="109" priority="1">
      <formula>IF(AND(ISNUMBER(E26),G26=0,D26-E26&gt;10),1,0)</formula>
    </cfRule>
    <cfRule type="expression" dxfId="108" priority="2">
      <formula>IF(E26&gt;D26,1,0)</formula>
    </cfRule>
  </conditionalFormatting>
  <dataValidations count="7">
    <dataValidation type="list" allowBlank="1" showInputMessage="1" showErrorMessage="1" sqref="C8">
      <formula1>$G$27:$G$36</formula1>
    </dataValidation>
    <dataValidation type="list" allowBlank="1" showInputMessage="1" showErrorMessage="1" sqref="C19:E19">
      <formula1>$G$5:$G$20</formula1>
    </dataValidation>
    <dataValidation type="list" allowBlank="1" showInputMessage="1" showErrorMessage="1" sqref="C21:C22">
      <formula1>$H$5:$H$11</formula1>
    </dataValidation>
    <dataValidation type="list" allowBlank="1" showInputMessage="1" showErrorMessage="1" sqref="C23">
      <formula1>$H$13:$H$15</formula1>
    </dataValidation>
    <dataValidation type="list" allowBlank="1" showInputMessage="1" showErrorMessage="1" sqref="C30">
      <formula1>$H$18:$H$20</formula1>
    </dataValidation>
    <dataValidation type="list" allowBlank="1" showInputMessage="1" showErrorMessage="1" sqref="C33">
      <formula1>$I$5:$I$7</formula1>
    </dataValidation>
    <dataValidation type="list" allowBlank="1" showInputMessage="1" showErrorMessage="1" sqref="C10">
      <formula1>$I$11:$I$15</formula1>
    </dataValidation>
  </dataValidations>
  <pageMargins left="0.55118110236220474" right="0.19685039370078741" top="0.61" bottom="0.15748031496062992" header="0.19685039370078741" footer="0.11811023622047245"/>
  <pageSetup paperSize="9" orientation="landscape" verticalDpi="1200" r:id="rId1"/>
  <headerFooter alignWithMargins="0">
    <oddHeader>&amp;L&amp;F Flik &amp;A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CA160"/>
  <sheetViews>
    <sheetView topLeftCell="B1" zoomScale="130" zoomScaleNormal="130" workbookViewId="0">
      <selection activeCell="O25" sqref="O25"/>
    </sheetView>
  </sheetViews>
  <sheetFormatPr defaultColWidth="9.140625" defaultRowHeight="16.5" x14ac:dyDescent="0.25"/>
  <cols>
    <col min="1" max="1" width="10.28515625" style="1" hidden="1" customWidth="1"/>
    <col min="2" max="2" width="15.42578125" style="3" customWidth="1"/>
    <col min="3" max="3" width="12" style="3" customWidth="1"/>
    <col min="4" max="4" width="10.28515625" style="3" customWidth="1"/>
    <col min="5" max="5" width="9.140625" style="3"/>
    <col min="6" max="6" width="13.140625" style="3" customWidth="1"/>
    <col min="7" max="7" width="8.42578125" style="3" customWidth="1"/>
    <col min="8" max="9" width="9.28515625" style="3" customWidth="1"/>
    <col min="10" max="10" width="9" style="3" customWidth="1"/>
    <col min="11" max="14" width="7.7109375" style="2" hidden="1" customWidth="1"/>
    <col min="15" max="15" width="17.42578125" style="1" customWidth="1"/>
    <col min="16" max="16" width="5.7109375" style="1" customWidth="1"/>
    <col min="17" max="17" width="10.7109375" style="1" customWidth="1"/>
    <col min="18" max="18" width="14.85546875" style="1" customWidth="1"/>
    <col min="19" max="19" width="9.140625" style="1"/>
    <col min="20" max="20" width="13" style="1" customWidth="1"/>
    <col min="21" max="21" width="2.28515625" style="1" customWidth="1"/>
    <col min="22" max="22" width="0" style="1" hidden="1" customWidth="1"/>
    <col min="23" max="23" width="28.7109375" style="1" customWidth="1"/>
    <col min="24" max="16384" width="9.140625" style="1"/>
  </cols>
  <sheetData>
    <row r="1" spans="1:79" ht="18.75" customHeight="1" x14ac:dyDescent="0.25">
      <c r="A1" s="1">
        <f>SUM(A2:A9)+A58</f>
        <v>1000</v>
      </c>
      <c r="B1" s="61"/>
      <c r="C1" s="50"/>
      <c r="D1" s="50"/>
      <c r="E1" s="50"/>
      <c r="F1" s="50"/>
      <c r="G1" s="186" t="str">
        <f>IF(SUM(F17:J20)=0,"",IF(A1=0,"ALLT KLART",IF(L7=1,M7,IF(AND(SUM(A2:A9)=0,A1=1000),"Signera också!",""))))</f>
        <v/>
      </c>
      <c r="H1" s="186"/>
      <c r="I1" s="186"/>
      <c r="J1" s="187"/>
      <c r="Q1" s="60" t="s">
        <v>20</v>
      </c>
      <c r="R1" s="59"/>
      <c r="W1" s="58" t="s">
        <v>201</v>
      </c>
    </row>
    <row r="2" spans="1:79" ht="12.75" customHeight="1" x14ac:dyDescent="0.25">
      <c r="A2" s="1">
        <f>IF(OR(SUM(A16:A20)=5,N17=29),0,1)</f>
        <v>0</v>
      </c>
      <c r="B2" s="57"/>
      <c r="J2" s="56" t="str">
        <f ca="1">MID(CELL("filename",A1),FIND("]",CELL("filename",A1))+1,255)</f>
        <v>Ogräsräkning 1</v>
      </c>
      <c r="K2" s="5"/>
      <c r="L2" s="5">
        <f>COUNT(F17,F22,F27,F32,F37,F42,F47,F52)</f>
        <v>0</v>
      </c>
      <c r="M2" s="5"/>
      <c r="N2" s="5"/>
      <c r="O2" s="48">
        <f>W3</f>
        <v>0</v>
      </c>
      <c r="Q2" s="55" t="s">
        <v>202</v>
      </c>
      <c r="R2" s="54"/>
      <c r="S2" s="53" t="s">
        <v>203</v>
      </c>
      <c r="T2" s="52"/>
      <c r="W2" s="1" t="s">
        <v>204</v>
      </c>
    </row>
    <row r="3" spans="1:79" s="4" customFormat="1" ht="12.75" customHeight="1" x14ac:dyDescent="0.25">
      <c r="A3" s="1">
        <f>IF(OR(SUM(A21:A25)=5,N22=29),0,1)</f>
        <v>0</v>
      </c>
      <c r="B3" s="51" t="s">
        <v>205</v>
      </c>
      <c r="C3" s="50"/>
      <c r="D3" s="50"/>
      <c r="E3" s="50"/>
      <c r="F3" s="50"/>
      <c r="G3" s="50"/>
      <c r="H3" s="50"/>
      <c r="I3" s="50"/>
      <c r="J3" s="49"/>
      <c r="K3" s="5"/>
      <c r="L3" s="47">
        <f>SUM(A16,A21,A26,A31,A36,A41,A46,A51)</f>
        <v>0</v>
      </c>
      <c r="M3" s="5" t="str">
        <f>IF(L3&lt;L$2,"Åtminstone ogräsnamn ","")</f>
        <v/>
      </c>
      <c r="N3" s="5"/>
      <c r="O3" s="48">
        <f>W4</f>
        <v>0</v>
      </c>
      <c r="Q3" s="41" t="s">
        <v>58</v>
      </c>
      <c r="R3" s="37" t="s">
        <v>59</v>
      </c>
      <c r="S3" s="41" t="s">
        <v>58</v>
      </c>
      <c r="T3" s="37" t="s">
        <v>60</v>
      </c>
      <c r="W3" s="48"/>
    </row>
    <row r="4" spans="1:79" ht="12.75" customHeight="1" x14ac:dyDescent="0.25">
      <c r="A4" s="1">
        <f>IF(OR(SUM(A26:A30)=5,N27=29),0,1)</f>
        <v>0</v>
      </c>
      <c r="B4" s="44" t="s">
        <v>206</v>
      </c>
      <c r="J4" s="43"/>
      <c r="K4" s="5"/>
      <c r="L4" s="47">
        <f>SUM(A17,A22,A27,A32,A37,A42,A47,A52)</f>
        <v>0</v>
      </c>
      <c r="M4" s="5" t="str">
        <f>IF(AND(L4&lt;L$3,L4&lt;L$2),"utv.st/storlek ","")</f>
        <v/>
      </c>
      <c r="N4" s="5"/>
      <c r="O4" s="4" t="str">
        <f>[1]o!AE11</f>
        <v>annuella gräs</v>
      </c>
      <c r="Q4" s="38">
        <v>10</v>
      </c>
      <c r="R4" s="37" t="s">
        <v>65</v>
      </c>
      <c r="S4" s="38">
        <v>10</v>
      </c>
      <c r="T4" s="37" t="s">
        <v>66</v>
      </c>
      <c r="W4" s="48"/>
    </row>
    <row r="5" spans="1:79" ht="12.75" customHeight="1" x14ac:dyDescent="0.25">
      <c r="A5" s="1">
        <f>IF(OR(SUM(A31:A35)=5,N32=29),0,1)</f>
        <v>0</v>
      </c>
      <c r="B5" s="44" t="s">
        <v>207</v>
      </c>
      <c r="J5" s="43"/>
      <c r="K5" s="5"/>
      <c r="L5" s="47">
        <f>SUM(A18,A23,A28,A33,A38,A43,A48,A53)</f>
        <v>0</v>
      </c>
      <c r="M5" s="5" t="str">
        <f>IF(AND(L5&lt;L$3,L5&lt;L$2),"täckning ","")</f>
        <v/>
      </c>
      <c r="N5" s="5"/>
      <c r="O5" s="4" t="str">
        <f>[1]o!AE12</f>
        <v>arv, röd-</v>
      </c>
      <c r="Q5" s="38">
        <v>11</v>
      </c>
      <c r="R5" s="37" t="s">
        <v>72</v>
      </c>
      <c r="S5" s="38">
        <v>11</v>
      </c>
      <c r="T5" s="37" t="s">
        <v>73</v>
      </c>
    </row>
    <row r="6" spans="1:79" ht="12.75" customHeight="1" x14ac:dyDescent="0.25">
      <c r="A6" s="1">
        <f>IF(OR(SUM(A36:A40)=5,N37=29),0,1)</f>
        <v>0</v>
      </c>
      <c r="B6" s="44" t="s">
        <v>208</v>
      </c>
      <c r="J6" s="43"/>
      <c r="K6" s="5"/>
      <c r="L6" s="47">
        <f>SUM(A19,A24,A29,A34,A39,A44,A49,A54)</f>
        <v>0</v>
      </c>
      <c r="M6" s="5" t="str">
        <f>IF(AND(L6&lt;L$3,L6&lt;L$2),"räkning ","")</f>
        <v/>
      </c>
      <c r="N6" s="5"/>
      <c r="O6" s="4" t="str">
        <f>[1]o!AE13</f>
        <v>arv, våt-</v>
      </c>
      <c r="Q6" s="38">
        <v>12</v>
      </c>
      <c r="R6" s="37" t="s">
        <v>78</v>
      </c>
      <c r="S6" s="38">
        <v>12</v>
      </c>
      <c r="T6" s="37" t="s">
        <v>79</v>
      </c>
      <c r="BS6" s="4"/>
      <c r="BT6" s="4"/>
      <c r="BU6" s="4"/>
      <c r="BV6" s="4"/>
      <c r="BW6" s="4"/>
      <c r="BX6" s="4"/>
      <c r="BY6" s="4"/>
      <c r="BZ6" s="4"/>
      <c r="CA6" s="4"/>
    </row>
    <row r="7" spans="1:79" s="16" customFormat="1" ht="13.5" customHeight="1" x14ac:dyDescent="0.25">
      <c r="A7" s="1">
        <f>IF(OR(SUM(A41:A45)=5,N42=29),0,1)</f>
        <v>0</v>
      </c>
      <c r="B7" s="44" t="s">
        <v>209</v>
      </c>
      <c r="C7" s="3"/>
      <c r="D7" s="3"/>
      <c r="E7" s="3"/>
      <c r="F7" s="3"/>
      <c r="G7" s="3"/>
      <c r="H7" s="3"/>
      <c r="I7" s="3"/>
      <c r="J7" s="43"/>
      <c r="K7" s="5"/>
      <c r="L7" s="46">
        <f>IF(AND(L3=L2,L4=L2,L5=L2,L6=L2),0,1)</f>
        <v>0</v>
      </c>
      <c r="M7" s="5" t="str">
        <f>IF(L7=0,"",M3&amp;M4&amp;M5&amp;M6&amp;" saknas")</f>
        <v/>
      </c>
      <c r="N7" s="5"/>
      <c r="O7" s="4" t="str">
        <f>[1]o!AE14</f>
        <v>baldersbrå</v>
      </c>
      <c r="P7" s="1"/>
      <c r="Q7" s="38">
        <v>20</v>
      </c>
      <c r="R7" s="37" t="s">
        <v>85</v>
      </c>
      <c r="S7" s="38"/>
      <c r="T7" s="37" t="s">
        <v>86</v>
      </c>
    </row>
    <row r="8" spans="1:79" s="16" customFormat="1" ht="13.5" customHeight="1" x14ac:dyDescent="0.25">
      <c r="A8" s="1">
        <f>IF(OR(SUM(A46:A50)=5,N47=29),0,1)</f>
        <v>0</v>
      </c>
      <c r="B8" s="44" t="s">
        <v>210</v>
      </c>
      <c r="C8" s="3"/>
      <c r="D8" s="3"/>
      <c r="E8" s="3"/>
      <c r="F8" s="3"/>
      <c r="G8" s="3"/>
      <c r="H8" s="3"/>
      <c r="I8" s="3"/>
      <c r="J8" s="43"/>
      <c r="K8" s="5"/>
      <c r="L8" s="5"/>
      <c r="M8" s="5"/>
      <c r="N8" s="5"/>
      <c r="O8" s="4" t="str">
        <f>[1]o!AE15</f>
        <v>bitterpilört</v>
      </c>
      <c r="P8" s="1"/>
      <c r="Q8" s="38">
        <v>21</v>
      </c>
      <c r="R8" s="37" t="s">
        <v>92</v>
      </c>
      <c r="S8" s="38">
        <v>30</v>
      </c>
      <c r="T8" s="37" t="s">
        <v>93</v>
      </c>
    </row>
    <row r="9" spans="1:79" s="16" customFormat="1" ht="13.5" customHeight="1" x14ac:dyDescent="0.25">
      <c r="A9" s="1">
        <f>IF(OR(SUM(A51:A55)=5,N52=29),0,1)</f>
        <v>0</v>
      </c>
      <c r="B9" s="45" t="s">
        <v>211</v>
      </c>
      <c r="C9" s="3"/>
      <c r="D9" s="3"/>
      <c r="E9" s="3"/>
      <c r="F9" s="3"/>
      <c r="G9" s="3"/>
      <c r="H9" s="3"/>
      <c r="I9" s="3"/>
      <c r="J9" s="43"/>
      <c r="K9" s="5"/>
      <c r="L9" s="5"/>
      <c r="M9" s="5"/>
      <c r="N9" s="5"/>
      <c r="O9" s="4" t="str">
        <f>[1]o!AE16</f>
        <v>blåklint</v>
      </c>
      <c r="P9" s="1"/>
      <c r="Q9" s="38">
        <v>22</v>
      </c>
      <c r="R9" s="37" t="s">
        <v>97</v>
      </c>
      <c r="S9" s="38">
        <v>31</v>
      </c>
      <c r="T9" s="37" t="s">
        <v>98</v>
      </c>
    </row>
    <row r="10" spans="1:79" s="16" customFormat="1" ht="13.5" customHeight="1" x14ac:dyDescent="0.25">
      <c r="A10" s="1"/>
      <c r="B10" s="45" t="s">
        <v>212</v>
      </c>
      <c r="C10" s="3"/>
      <c r="D10" s="3"/>
      <c r="E10" s="3"/>
      <c r="F10" s="3"/>
      <c r="G10" s="3"/>
      <c r="H10" s="3"/>
      <c r="I10" s="3"/>
      <c r="J10" s="43"/>
      <c r="K10" s="5"/>
      <c r="L10" s="5"/>
      <c r="M10" s="5"/>
      <c r="N10" s="5"/>
      <c r="O10" s="4" t="str">
        <f>[1]o!AE17</f>
        <v>brännässla</v>
      </c>
      <c r="Q10" s="38">
        <v>30</v>
      </c>
      <c r="R10" s="37" t="s">
        <v>105</v>
      </c>
      <c r="S10" s="38">
        <v>32</v>
      </c>
      <c r="T10" s="37" t="s">
        <v>106</v>
      </c>
    </row>
    <row r="11" spans="1:79" s="4" customFormat="1" ht="13.5" customHeight="1" x14ac:dyDescent="0.25">
      <c r="B11" s="45" t="s">
        <v>213</v>
      </c>
      <c r="D11" s="3"/>
      <c r="E11" s="3"/>
      <c r="F11" s="3"/>
      <c r="G11" s="3"/>
      <c r="H11" s="3"/>
      <c r="I11" s="3"/>
      <c r="J11" s="43"/>
      <c r="K11" s="5"/>
      <c r="L11" s="5"/>
      <c r="M11" s="5"/>
      <c r="N11" s="5"/>
      <c r="O11" s="4" t="str">
        <f>[1]o!AE18</f>
        <v>dån</v>
      </c>
      <c r="Q11" s="38">
        <v>31</v>
      </c>
      <c r="R11" s="37" t="s">
        <v>110</v>
      </c>
      <c r="S11" s="38"/>
      <c r="T11" s="37" t="s">
        <v>86</v>
      </c>
    </row>
    <row r="12" spans="1:79" s="16" customFormat="1" ht="13.5" customHeight="1" x14ac:dyDescent="0.25">
      <c r="B12" s="45" t="s">
        <v>214</v>
      </c>
      <c r="C12" s="3"/>
      <c r="D12" s="3"/>
      <c r="E12" s="3"/>
      <c r="F12" s="3"/>
      <c r="G12" s="3"/>
      <c r="H12" s="3"/>
      <c r="I12" s="3"/>
      <c r="J12" s="43"/>
      <c r="K12" s="5"/>
      <c r="L12" s="5"/>
      <c r="M12" s="5"/>
      <c r="N12" s="5"/>
      <c r="O12" s="4" t="str">
        <f>[1]o!AE19</f>
        <v>dån, hamp-</v>
      </c>
      <c r="Q12" s="38">
        <v>32</v>
      </c>
      <c r="R12" s="37" t="s">
        <v>115</v>
      </c>
      <c r="S12" s="38">
        <v>50</v>
      </c>
      <c r="T12" s="37" t="s">
        <v>116</v>
      </c>
    </row>
    <row r="13" spans="1:79" s="16" customFormat="1" ht="13.5" customHeight="1" x14ac:dyDescent="0.25">
      <c r="B13" s="44" t="s">
        <v>215</v>
      </c>
      <c r="C13" s="3"/>
      <c r="D13" s="3"/>
      <c r="E13" s="3"/>
      <c r="F13" s="3"/>
      <c r="G13" s="3"/>
      <c r="H13" s="3"/>
      <c r="I13" s="3"/>
      <c r="J13" s="43"/>
      <c r="K13" s="5"/>
      <c r="L13" s="5"/>
      <c r="M13" s="5"/>
      <c r="N13" s="5"/>
      <c r="O13" s="4" t="str">
        <f>[1]o!AE20</f>
        <v>dån, mjuk-</v>
      </c>
      <c r="Q13" s="38">
        <v>37</v>
      </c>
      <c r="R13" s="37" t="s">
        <v>122</v>
      </c>
      <c r="S13" s="38"/>
      <c r="T13" s="37" t="s">
        <v>123</v>
      </c>
    </row>
    <row r="14" spans="1:79" s="16" customFormat="1" ht="13.5" customHeight="1" x14ac:dyDescent="0.2">
      <c r="B14" s="188" t="s">
        <v>216</v>
      </c>
      <c r="C14" s="189"/>
      <c r="D14" s="189"/>
      <c r="E14" s="189"/>
      <c r="F14" s="189"/>
      <c r="G14" s="189"/>
      <c r="H14" s="189"/>
      <c r="I14" s="189"/>
      <c r="J14" s="190"/>
      <c r="K14" s="5"/>
      <c r="L14" s="5"/>
      <c r="M14" s="5"/>
      <c r="N14" s="5"/>
      <c r="O14" s="4" t="str">
        <f>[1]o!AE21</f>
        <v>dån, pip-</v>
      </c>
      <c r="Q14" s="42">
        <v>39</v>
      </c>
      <c r="R14" s="39" t="s">
        <v>129</v>
      </c>
      <c r="S14" s="38">
        <v>51</v>
      </c>
      <c r="T14" s="37" t="s">
        <v>130</v>
      </c>
    </row>
    <row r="15" spans="1:79" s="16" customFormat="1" ht="13.5" customHeight="1" x14ac:dyDescent="0.2">
      <c r="A15" s="4"/>
      <c r="B15" s="191"/>
      <c r="C15" s="192"/>
      <c r="D15" s="192"/>
      <c r="E15" s="192"/>
      <c r="F15" s="192"/>
      <c r="G15" s="192"/>
      <c r="H15" s="192"/>
      <c r="I15" s="192"/>
      <c r="J15" s="193"/>
      <c r="K15" s="5"/>
      <c r="L15" s="5"/>
      <c r="M15" s="5"/>
      <c r="N15" s="5"/>
      <c r="O15" s="4" t="str">
        <f>[1]o!AE22</f>
        <v>dån, topp-</v>
      </c>
      <c r="Q15" s="38">
        <v>41</v>
      </c>
      <c r="R15" s="37" t="s">
        <v>134</v>
      </c>
      <c r="S15" s="41"/>
      <c r="T15" s="37" t="s">
        <v>135</v>
      </c>
    </row>
    <row r="16" spans="1:79" s="16" customFormat="1" ht="13.5" customHeight="1" x14ac:dyDescent="0.2">
      <c r="A16" s="4">
        <f>IF(B17=0,0,1)</f>
        <v>0</v>
      </c>
      <c r="B16" s="27" t="s">
        <v>217</v>
      </c>
      <c r="C16" s="26" t="s">
        <v>218</v>
      </c>
      <c r="D16" s="25"/>
      <c r="E16" s="24"/>
      <c r="F16" s="23" t="s">
        <v>219</v>
      </c>
      <c r="G16" s="23" t="s">
        <v>219</v>
      </c>
      <c r="H16" s="23" t="s">
        <v>219</v>
      </c>
      <c r="I16" s="23" t="s">
        <v>219</v>
      </c>
      <c r="J16" s="22" t="s">
        <v>220</v>
      </c>
      <c r="K16" s="11"/>
      <c r="L16" s="11"/>
      <c r="M16" s="11"/>
      <c r="N16" s="11"/>
      <c r="O16" s="4" t="str">
        <f>[1]o!AE23</f>
        <v>engelskt rajgräs</v>
      </c>
      <c r="Q16" s="38">
        <v>45</v>
      </c>
      <c r="R16" s="37" t="s">
        <v>138</v>
      </c>
      <c r="S16" s="38">
        <v>55</v>
      </c>
      <c r="T16" s="37" t="s">
        <v>139</v>
      </c>
    </row>
    <row r="17" spans="1:20" s="16" customFormat="1" ht="13.5" customHeight="1" x14ac:dyDescent="0.2">
      <c r="A17" s="4">
        <f>IF(AND(COUNTBLANK(C18:D20)=0,D16&gt;0),1,0)*A16</f>
        <v>0</v>
      </c>
      <c r="B17" s="21"/>
      <c r="C17" s="20" t="s">
        <v>221</v>
      </c>
      <c r="D17" s="20" t="s">
        <v>222</v>
      </c>
      <c r="E17" s="18" t="s">
        <v>223</v>
      </c>
      <c r="F17" s="17"/>
      <c r="G17" s="17"/>
      <c r="H17" s="17"/>
      <c r="I17" s="17"/>
      <c r="J17" s="17"/>
      <c r="K17" s="12">
        <f>IF(COUNTBLANK(F17:I17)=3,F17*4,IF(COUNTBLANK(F17:I17)=2,(F17+G17)*2,IF(COUNTBLANK(F17:I17)=1,SUM(F17:H17)/0.75,SUM(F17:I17))))</f>
        <v>0</v>
      </c>
      <c r="L17" s="11">
        <f>IF(K17&gt;=40,1,IF(K17&gt;=20,2,4))</f>
        <v>4</v>
      </c>
      <c r="M17" s="11">
        <f>4-COUNTBLANK(F17:I17)</f>
        <v>0</v>
      </c>
      <c r="N17" s="11">
        <f>COUNTBLANK(C16:J20)+COUNTBLANK(B17)</f>
        <v>29</v>
      </c>
      <c r="O17" s="4" t="str">
        <f>[1]o!AE24</f>
        <v>etternässla</v>
      </c>
      <c r="Q17" s="38">
        <v>49</v>
      </c>
      <c r="R17" s="37" t="s">
        <v>142</v>
      </c>
      <c r="S17" s="38"/>
      <c r="T17" s="37" t="s">
        <v>143</v>
      </c>
    </row>
    <row r="18" spans="1:20" s="16" customFormat="1" ht="13.5" customHeight="1" x14ac:dyDescent="0.2">
      <c r="A18" s="4">
        <f>IF(COUNTBLANK(J17:J20)=0,1,0)*A16</f>
        <v>0</v>
      </c>
      <c r="B18" s="19" t="s">
        <v>224</v>
      </c>
      <c r="C18" s="17"/>
      <c r="D18" s="17"/>
      <c r="E18" s="18" t="s">
        <v>225</v>
      </c>
      <c r="F18" s="17"/>
      <c r="G18" s="17"/>
      <c r="H18" s="17"/>
      <c r="I18" s="17"/>
      <c r="J18" s="17"/>
      <c r="K18" s="12">
        <f>IF(COUNTBLANK(F18:I18)=3,F18*4,IF(COUNTBLANK(F18:I18)=2,(F18+G18)*2,IF(COUNTBLANK(F18:I18)=1,SUM(F18:H18)/0.75,SUM(F18:I18))))</f>
        <v>0</v>
      </c>
      <c r="L18" s="11">
        <f>IF(K18&gt;=40,1,IF(K18&gt;=20,2,4))</f>
        <v>4</v>
      </c>
      <c r="M18" s="11">
        <f>4-COUNTBLANK(F18:I18)</f>
        <v>0</v>
      </c>
      <c r="N18" s="11"/>
      <c r="O18" s="4" t="str">
        <f>[1]o!AE25</f>
        <v>fliknäva</v>
      </c>
      <c r="Q18" s="38">
        <v>51</v>
      </c>
      <c r="R18" s="37" t="s">
        <v>150</v>
      </c>
      <c r="S18" s="38">
        <v>59</v>
      </c>
      <c r="T18" s="37" t="s">
        <v>151</v>
      </c>
    </row>
    <row r="19" spans="1:20" s="4" customFormat="1" ht="13.5" customHeight="1" x14ac:dyDescent="0.2">
      <c r="A19" s="4">
        <f>IF(SUM(L17:L20)-SUM(M17:M20)&lt;=0,1,0)*A16</f>
        <v>0</v>
      </c>
      <c r="B19" s="19" t="s">
        <v>226</v>
      </c>
      <c r="C19" s="17"/>
      <c r="D19" s="17"/>
      <c r="E19" s="18" t="s">
        <v>227</v>
      </c>
      <c r="F19" s="17"/>
      <c r="G19" s="17"/>
      <c r="H19" s="17"/>
      <c r="I19" s="17"/>
      <c r="J19" s="17"/>
      <c r="K19" s="12">
        <f>IF(COUNTBLANK(F19:I19)=3,F19*4,IF(COUNTBLANK(F19:I19)=2,(F19+G19)*2,IF(COUNTBLANK(F19:I19)=1,SUM(F19:H19)/0.75,SUM(F19:I19))))</f>
        <v>0</v>
      </c>
      <c r="L19" s="11">
        <f>IF(K19&gt;=40,1,IF(K19&gt;=20,2,4))</f>
        <v>4</v>
      </c>
      <c r="M19" s="11">
        <f>4-COUNTBLANK(F19:I19)</f>
        <v>0</v>
      </c>
      <c r="N19" s="11"/>
      <c r="O19" s="4" t="str">
        <f>[1]o!AE26</f>
        <v>flikpilister</v>
      </c>
      <c r="Q19" s="38">
        <v>55</v>
      </c>
      <c r="R19" s="37" t="s">
        <v>154</v>
      </c>
      <c r="S19" s="38">
        <v>61</v>
      </c>
      <c r="T19" s="37" t="s">
        <v>155</v>
      </c>
    </row>
    <row r="20" spans="1:20" s="16" customFormat="1" ht="13.5" customHeight="1" thickBot="1" x14ac:dyDescent="0.25">
      <c r="A20" s="4">
        <f>A16*A17*A18*A19</f>
        <v>0</v>
      </c>
      <c r="B20" s="15" t="s">
        <v>228</v>
      </c>
      <c r="C20" s="13"/>
      <c r="D20" s="13"/>
      <c r="E20" s="14" t="s">
        <v>229</v>
      </c>
      <c r="F20" s="13"/>
      <c r="G20" s="13"/>
      <c r="H20" s="13"/>
      <c r="I20" s="13"/>
      <c r="J20" s="13"/>
      <c r="K20" s="12">
        <f>IF(COUNTBLANK(F20:I20)=3,F20*4,IF(COUNTBLANK(F20:I20)=2,(F20+G20)*2,IF(COUNTBLANK(F20:I20)=1,SUM(F20:H20)/0.75,SUM(F20:I20))))</f>
        <v>0</v>
      </c>
      <c r="L20" s="11">
        <f>IF(K20&gt;=40,1,IF(K20&gt;=20,2,4))</f>
        <v>4</v>
      </c>
      <c r="M20" s="11">
        <f>4-COUNTBLANK(F20:I20)</f>
        <v>0</v>
      </c>
      <c r="N20" s="11"/>
      <c r="O20" s="4" t="str">
        <f>[1]o!AE27</f>
        <v>flyghavre</v>
      </c>
      <c r="Q20" s="38">
        <v>59</v>
      </c>
      <c r="R20" s="37" t="s">
        <v>158</v>
      </c>
      <c r="S20" s="38">
        <v>65</v>
      </c>
      <c r="T20" s="37" t="s">
        <v>159</v>
      </c>
    </row>
    <row r="21" spans="1:20" s="16" customFormat="1" ht="13.5" customHeight="1" x14ac:dyDescent="0.2">
      <c r="A21" s="4">
        <f>IF(B22=0,0,1)</f>
        <v>0</v>
      </c>
      <c r="B21" s="27" t="s">
        <v>230</v>
      </c>
      <c r="C21" s="26" t="s">
        <v>218</v>
      </c>
      <c r="D21" s="25"/>
      <c r="E21" s="24"/>
      <c r="F21" s="23" t="s">
        <v>219</v>
      </c>
      <c r="G21" s="23" t="s">
        <v>219</v>
      </c>
      <c r="H21" s="23" t="s">
        <v>219</v>
      </c>
      <c r="I21" s="23" t="s">
        <v>219</v>
      </c>
      <c r="J21" s="22" t="s">
        <v>220</v>
      </c>
      <c r="K21" s="12"/>
      <c r="L21" s="11"/>
      <c r="M21" s="11"/>
      <c r="N21" s="11"/>
      <c r="O21" s="4" t="str">
        <f>[1]o!AE28</f>
        <v>fräken, åker-</v>
      </c>
      <c r="Q21" s="38">
        <v>61</v>
      </c>
      <c r="R21" s="37" t="s">
        <v>162</v>
      </c>
      <c r="S21" s="38">
        <v>69</v>
      </c>
      <c r="T21" s="37" t="s">
        <v>163</v>
      </c>
    </row>
    <row r="22" spans="1:20" s="16" customFormat="1" ht="13.5" customHeight="1" x14ac:dyDescent="0.2">
      <c r="A22" s="4">
        <f>IF(AND(COUNTBLANK(C23:D25)=0,D21&gt;0),1,0)*A21</f>
        <v>0</v>
      </c>
      <c r="B22" s="21"/>
      <c r="C22" s="20" t="s">
        <v>221</v>
      </c>
      <c r="D22" s="20" t="s">
        <v>222</v>
      </c>
      <c r="E22" s="18" t="s">
        <v>223</v>
      </c>
      <c r="F22" s="17"/>
      <c r="G22" s="17"/>
      <c r="H22" s="17"/>
      <c r="I22" s="17"/>
      <c r="J22" s="17"/>
      <c r="K22" s="12">
        <f>IF(COUNTBLANK(F22:I22)=3,F22*4,IF(COUNTBLANK(F22:I22)=2,(F22+G22)*2,IF(COUNTBLANK(F22:I22)=1,SUM(F22:H22)/0.75,SUM(F22:I22))))</f>
        <v>0</v>
      </c>
      <c r="L22" s="11">
        <f>IF(K22&gt;=40,1,IF(K22&gt;=20,2,4))</f>
        <v>4</v>
      </c>
      <c r="M22" s="11">
        <f>4-COUNTBLANK(F22:I22)</f>
        <v>0</v>
      </c>
      <c r="N22" s="11">
        <f>COUNTBLANK(C21:J25)+COUNTBLANK(B22)</f>
        <v>29</v>
      </c>
      <c r="O22" s="4" t="str">
        <f>[1]o!AE29</f>
        <v>fältveronika</v>
      </c>
      <c r="Q22" s="40">
        <v>65</v>
      </c>
      <c r="R22" s="39" t="s">
        <v>166</v>
      </c>
      <c r="S22" s="38">
        <v>70</v>
      </c>
      <c r="T22" s="37" t="s">
        <v>167</v>
      </c>
    </row>
    <row r="23" spans="1:20" s="16" customFormat="1" ht="13.5" customHeight="1" x14ac:dyDescent="0.2">
      <c r="A23" s="4">
        <f>IF(COUNTBLANK(J22:J25)=0,1,0)*A21</f>
        <v>0</v>
      </c>
      <c r="B23" s="19" t="s">
        <v>224</v>
      </c>
      <c r="C23" s="17"/>
      <c r="D23" s="17"/>
      <c r="E23" s="18" t="s">
        <v>225</v>
      </c>
      <c r="F23" s="17"/>
      <c r="G23" s="17"/>
      <c r="H23" s="17"/>
      <c r="I23" s="17"/>
      <c r="J23" s="17"/>
      <c r="K23" s="12">
        <f>IF(COUNTBLANK(F23:I23)=3,F23*4,IF(COUNTBLANK(F23:I23)=2,(F23+G23)*2,IF(COUNTBLANK(F23:I23)=1,SUM(F23:H23)/0.75,SUM(F23:I23))))</f>
        <v>0</v>
      </c>
      <c r="L23" s="11">
        <f>IF(K23&gt;=40,1,IF(K23&gt;=20,2,4))</f>
        <v>4</v>
      </c>
      <c r="M23" s="11">
        <f>4-COUNTBLANK(F23:I23)</f>
        <v>0</v>
      </c>
      <c r="N23" s="11"/>
      <c r="O23" s="4" t="str">
        <f>[1]o!AE30</f>
        <v>förgätmigej</v>
      </c>
      <c r="Q23" s="38">
        <v>69</v>
      </c>
      <c r="R23" s="37" t="s">
        <v>163</v>
      </c>
      <c r="S23" s="38">
        <v>71</v>
      </c>
      <c r="T23" s="37" t="s">
        <v>170</v>
      </c>
    </row>
    <row r="24" spans="1:20" s="16" customFormat="1" ht="13.5" customHeight="1" x14ac:dyDescent="0.2">
      <c r="A24" s="4">
        <f>IF(SUM(L22:L25)-SUM(M22:M25)&lt;=0,1,0)*A21</f>
        <v>0</v>
      </c>
      <c r="B24" s="19" t="s">
        <v>226</v>
      </c>
      <c r="C24" s="17"/>
      <c r="D24" s="17"/>
      <c r="E24" s="18" t="s">
        <v>227</v>
      </c>
      <c r="F24" s="17"/>
      <c r="G24" s="17"/>
      <c r="H24" s="17"/>
      <c r="I24" s="17"/>
      <c r="J24" s="17"/>
      <c r="K24" s="12">
        <f>IF(COUNTBLANK(F24:I24)=3,F24*4,IF(COUNTBLANK(F24:I24)=2,(F24+G24)*2,IF(COUNTBLANK(F24:I24)=1,SUM(F24:H24)/0.75,SUM(F24:I24))))</f>
        <v>0</v>
      </c>
      <c r="L24" s="11">
        <f>IF(K24&gt;=40,1,IF(K24&gt;=20,2,4))</f>
        <v>4</v>
      </c>
      <c r="M24" s="11">
        <f>4-COUNTBLANK(F24:I24)</f>
        <v>0</v>
      </c>
      <c r="N24" s="11"/>
      <c r="O24" s="4" t="str">
        <f>[1]o!AE31</f>
        <v>förgätmigej, åker-</v>
      </c>
      <c r="Q24" s="38">
        <v>73</v>
      </c>
      <c r="R24" s="37" t="s">
        <v>173</v>
      </c>
      <c r="S24" s="38" t="s">
        <v>174</v>
      </c>
      <c r="T24" s="37" t="s">
        <v>175</v>
      </c>
    </row>
    <row r="25" spans="1:20" s="16" customFormat="1" ht="13.5" customHeight="1" thickBot="1" x14ac:dyDescent="0.25">
      <c r="A25" s="4">
        <f>A21*A22*A23*A24</f>
        <v>0</v>
      </c>
      <c r="B25" s="15" t="s">
        <v>228</v>
      </c>
      <c r="C25" s="13"/>
      <c r="D25" s="13"/>
      <c r="E25" s="14" t="s">
        <v>229</v>
      </c>
      <c r="F25" s="13"/>
      <c r="G25" s="13"/>
      <c r="H25" s="13"/>
      <c r="I25" s="13"/>
      <c r="J25" s="13"/>
      <c r="K25" s="12">
        <f>IF(COUNTBLANK(F25:I25)=3,F25*4,IF(COUNTBLANK(F25:I25)=2,(F25+G25)*2,IF(COUNTBLANK(F25:I25)=1,SUM(F25:H25)/0.75,SUM(F25:I25))))</f>
        <v>0</v>
      </c>
      <c r="L25" s="11">
        <f>IF(K25&gt;=40,1,IF(K25&gt;=20,2,4))</f>
        <v>4</v>
      </c>
      <c r="M25" s="11">
        <f>4-COUNTBLANK(F25:I25)</f>
        <v>0</v>
      </c>
      <c r="N25" s="11"/>
      <c r="O25" s="4" t="str">
        <f>[1]o!AE32</f>
        <v>gatkamomill</v>
      </c>
      <c r="Q25" s="38">
        <v>75</v>
      </c>
      <c r="R25" s="37" t="s">
        <v>180</v>
      </c>
      <c r="T25" s="36"/>
    </row>
    <row r="26" spans="1:20" s="16" customFormat="1" ht="13.5" customHeight="1" x14ac:dyDescent="0.2">
      <c r="A26" s="4">
        <f>IF(B27=0,0,1)</f>
        <v>0</v>
      </c>
      <c r="B26" s="27" t="s">
        <v>231</v>
      </c>
      <c r="C26" s="26" t="s">
        <v>218</v>
      </c>
      <c r="D26" s="25"/>
      <c r="E26" s="24"/>
      <c r="F26" s="23" t="s">
        <v>219</v>
      </c>
      <c r="G26" s="23" t="s">
        <v>219</v>
      </c>
      <c r="H26" s="23" t="s">
        <v>219</v>
      </c>
      <c r="I26" s="23" t="s">
        <v>219</v>
      </c>
      <c r="J26" s="22" t="s">
        <v>220</v>
      </c>
      <c r="K26" s="31"/>
      <c r="L26" s="30"/>
      <c r="M26" s="30"/>
      <c r="N26" s="30"/>
      <c r="O26" s="4" t="str">
        <f>[1]o!AE33</f>
        <v>groblad</v>
      </c>
      <c r="Q26" s="38">
        <v>77</v>
      </c>
      <c r="R26" s="37" t="s">
        <v>183</v>
      </c>
      <c r="T26" s="36"/>
    </row>
    <row r="27" spans="1:20" s="16" customFormat="1" ht="13.5" customHeight="1" x14ac:dyDescent="0.2">
      <c r="A27" s="4">
        <f>IF(AND(COUNTBLANK(C28:D30)=0,D26&gt;0),1,0)*A26</f>
        <v>0</v>
      </c>
      <c r="B27" s="21"/>
      <c r="C27" s="20" t="s">
        <v>221</v>
      </c>
      <c r="D27" s="20" t="s">
        <v>222</v>
      </c>
      <c r="E27" s="18" t="s">
        <v>223</v>
      </c>
      <c r="F27" s="17"/>
      <c r="G27" s="17"/>
      <c r="H27" s="17"/>
      <c r="I27" s="17"/>
      <c r="J27" s="17"/>
      <c r="K27" s="12">
        <f>IF(COUNTBLANK(F27:I27)=3,F27*4,IF(COUNTBLANK(F27:I27)=2,(F27+G27)*2,IF(COUNTBLANK(F27:I27)=1,SUM(F27:H27)/0.75,SUM(F27:I27))))</f>
        <v>0</v>
      </c>
      <c r="L27" s="11">
        <f>IF(K27&gt;=40,1,IF(K27&gt;=20,2,4))</f>
        <v>4</v>
      </c>
      <c r="M27" s="11">
        <f>4-COUNTBLANK(F27:I27)</f>
        <v>0</v>
      </c>
      <c r="N27" s="11">
        <f>COUNTBLANK(C26:J30)+COUNTBLANK(B27)</f>
        <v>29</v>
      </c>
      <c r="O27" s="4" t="str">
        <f>[1]o!AE34</f>
        <v>gräs, annuell</v>
      </c>
      <c r="Q27" s="38">
        <v>83</v>
      </c>
      <c r="R27" s="37" t="s">
        <v>185</v>
      </c>
      <c r="T27" s="36"/>
    </row>
    <row r="28" spans="1:20" s="16" customFormat="1" ht="13.5" customHeight="1" x14ac:dyDescent="0.2">
      <c r="A28" s="4">
        <f>IF(COUNTBLANK(J27:J30)=0,1,0)*A26</f>
        <v>0</v>
      </c>
      <c r="B28" s="19" t="s">
        <v>224</v>
      </c>
      <c r="C28" s="17"/>
      <c r="D28" s="17"/>
      <c r="E28" s="18" t="s">
        <v>225</v>
      </c>
      <c r="F28" s="17"/>
      <c r="G28" s="17"/>
      <c r="H28" s="17"/>
      <c r="I28" s="17"/>
      <c r="J28" s="17"/>
      <c r="K28" s="12">
        <f>IF(COUNTBLANK(F28:I28)=3,F28*4,IF(COUNTBLANK(F28:I28)=2,(F28+G28)*2,IF(COUNTBLANK(F28:I28)=1,SUM(F28:H28)/0.75,SUM(F28:I28))))</f>
        <v>0</v>
      </c>
      <c r="L28" s="11">
        <f>IF(K28&gt;=40,1,IF(K28&gt;=20,2,4))</f>
        <v>4</v>
      </c>
      <c r="M28" s="11">
        <f>4-COUNTBLANK(F28:I28)</f>
        <v>0</v>
      </c>
      <c r="N28" s="11"/>
      <c r="O28" s="4" t="str">
        <f>[1]o!AE35</f>
        <v>gröe, vit-</v>
      </c>
      <c r="Q28" s="38">
        <v>85</v>
      </c>
      <c r="R28" s="37" t="s">
        <v>188</v>
      </c>
      <c r="T28" s="36"/>
    </row>
    <row r="29" spans="1:20" s="16" customFormat="1" ht="13.5" customHeight="1" x14ac:dyDescent="0.2">
      <c r="A29" s="4">
        <f>IF(SUM(L27:L30)-SUM(M27:M30)&lt;=0,1,0)*A26</f>
        <v>0</v>
      </c>
      <c r="B29" s="19" t="s">
        <v>226</v>
      </c>
      <c r="C29" s="17"/>
      <c r="D29" s="17"/>
      <c r="E29" s="18" t="s">
        <v>227</v>
      </c>
      <c r="F29" s="17"/>
      <c r="G29" s="17"/>
      <c r="H29" s="17"/>
      <c r="I29" s="17"/>
      <c r="J29" s="17"/>
      <c r="K29" s="12">
        <f>IF(COUNTBLANK(F29:I29)=3,F29*4,IF(COUNTBLANK(F29:I29)=2,(F29+G29)*2,IF(COUNTBLANK(F29:I29)=1,SUM(F29:H29)/0.75,SUM(F29:I29))))</f>
        <v>0</v>
      </c>
      <c r="L29" s="11">
        <f>IF(K29&gt;=40,1,IF(K29&gt;=20,2,4))</f>
        <v>4</v>
      </c>
      <c r="M29" s="11">
        <f>4-COUNTBLANK(F29:I29)</f>
        <v>0</v>
      </c>
      <c r="N29" s="11"/>
      <c r="O29" s="4" t="str">
        <f>[1]o!AE36</f>
        <v>gulmåra</v>
      </c>
      <c r="Q29" s="35">
        <v>87</v>
      </c>
      <c r="R29" s="34" t="s">
        <v>191</v>
      </c>
      <c r="S29" s="33"/>
      <c r="T29" s="32"/>
    </row>
    <row r="30" spans="1:20" s="16" customFormat="1" ht="13.5" customHeight="1" thickBot="1" x14ac:dyDescent="0.25">
      <c r="A30" s="4">
        <f>A26*A27*A28*A29</f>
        <v>0</v>
      </c>
      <c r="B30" s="15" t="s">
        <v>228</v>
      </c>
      <c r="C30" s="13"/>
      <c r="D30" s="13"/>
      <c r="E30" s="14" t="s">
        <v>229</v>
      </c>
      <c r="F30" s="13"/>
      <c r="G30" s="13"/>
      <c r="H30" s="13"/>
      <c r="I30" s="13"/>
      <c r="J30" s="13"/>
      <c r="K30" s="12">
        <f>IF(COUNTBLANK(F30:I30)=3,F30*4,IF(COUNTBLANK(F30:I30)=2,(F30+G30)*2,IF(COUNTBLANK(F30:I30)=1,SUM(F30:H30)/0.75,SUM(F30:I30))))</f>
        <v>0</v>
      </c>
      <c r="L30" s="11">
        <f>IF(K30&gt;=40,1,IF(K30&gt;=20,2,4))</f>
        <v>4</v>
      </c>
      <c r="M30" s="11">
        <f>4-COUNTBLANK(F30:I30)</f>
        <v>0</v>
      </c>
      <c r="N30" s="11"/>
      <c r="O30" s="4" t="str">
        <f>[1]o!AE37</f>
        <v>gyllen, sommar-</v>
      </c>
    </row>
    <row r="31" spans="1:20" s="16" customFormat="1" ht="13.5" customHeight="1" x14ac:dyDescent="0.2">
      <c r="A31" s="4">
        <f>IF(B32=0,0,1)</f>
        <v>0</v>
      </c>
      <c r="B31" s="27" t="s">
        <v>232</v>
      </c>
      <c r="C31" s="26" t="s">
        <v>218</v>
      </c>
      <c r="D31" s="25"/>
      <c r="E31" s="24"/>
      <c r="F31" s="23" t="s">
        <v>219</v>
      </c>
      <c r="G31" s="23" t="s">
        <v>219</v>
      </c>
      <c r="H31" s="23" t="s">
        <v>219</v>
      </c>
      <c r="I31" s="23" t="s">
        <v>219</v>
      </c>
      <c r="J31" s="22" t="s">
        <v>220</v>
      </c>
      <c r="K31" s="31"/>
      <c r="L31" s="30"/>
      <c r="M31" s="30"/>
      <c r="N31" s="30"/>
      <c r="O31" s="4" t="str">
        <f>[1]o!AE38</f>
        <v>gyllen, åker-</v>
      </c>
    </row>
    <row r="32" spans="1:20" s="16" customFormat="1" ht="13.5" customHeight="1" x14ac:dyDescent="0.2">
      <c r="A32" s="4">
        <f>IF(AND(COUNTBLANK(C33:D35)=0,D31&gt;0),1,0)*A31</f>
        <v>0</v>
      </c>
      <c r="B32" s="21"/>
      <c r="C32" s="20" t="s">
        <v>221</v>
      </c>
      <c r="D32" s="20" t="s">
        <v>222</v>
      </c>
      <c r="E32" s="18" t="s">
        <v>223</v>
      </c>
      <c r="F32" s="17"/>
      <c r="G32" s="17"/>
      <c r="H32" s="17"/>
      <c r="I32" s="17"/>
      <c r="J32" s="17"/>
      <c r="K32" s="12">
        <f>IF(COUNTBLANK(F32:I32)=3,F32*4,IF(COUNTBLANK(F32:I32)=2,(F32+G32)*2,IF(COUNTBLANK(F32:I32)=1,SUM(F32:H32)/0.75,SUM(F32:I32))))</f>
        <v>0</v>
      </c>
      <c r="L32" s="11">
        <f>IF(K32&gt;=40,1,IF(K32&gt;=20,2,4))</f>
        <v>4</v>
      </c>
      <c r="M32" s="11">
        <f>4-COUNTBLANK(F32:I32)</f>
        <v>0</v>
      </c>
      <c r="N32" s="11">
        <f>COUNTBLANK(C31:J35)+COUNTBLANK(B32)</f>
        <v>29</v>
      </c>
      <c r="O32" s="4" t="str">
        <f>[1]o!AE39</f>
        <v>hampdån</v>
      </c>
    </row>
    <row r="33" spans="1:20" s="16" customFormat="1" ht="13.5" customHeight="1" x14ac:dyDescent="0.2">
      <c r="A33" s="4">
        <f>IF(COUNTBLANK(J32:J35)=0,1,0)*A31</f>
        <v>0</v>
      </c>
      <c r="B33" s="19" t="s">
        <v>224</v>
      </c>
      <c r="C33" s="17"/>
      <c r="D33" s="17"/>
      <c r="E33" s="18" t="s">
        <v>225</v>
      </c>
      <c r="F33" s="17"/>
      <c r="G33" s="17"/>
      <c r="H33" s="17"/>
      <c r="I33" s="17"/>
      <c r="J33" s="17"/>
      <c r="K33" s="12">
        <f>IF(COUNTBLANK(F33:I33)=3,F33*4,IF(COUNTBLANK(F33:I33)=2,(F33+G33)*2,IF(COUNTBLANK(F33:I33)=1,SUM(F33:H33)/0.75,SUM(F33:I33))))</f>
        <v>0</v>
      </c>
      <c r="L33" s="11">
        <f>IF(K33&gt;=40,1,IF(K33&gt;=20,2,4))</f>
        <v>4</v>
      </c>
      <c r="M33" s="11">
        <f>4-COUNTBLANK(F33:I33)</f>
        <v>0</v>
      </c>
      <c r="N33" s="11"/>
      <c r="O33" s="4" t="str">
        <f>[1]o!AE40</f>
        <v>harkål</v>
      </c>
    </row>
    <row r="34" spans="1:20" s="16" customFormat="1" ht="13.5" customHeight="1" x14ac:dyDescent="0.2">
      <c r="A34" s="4">
        <f>IF(SUM(L32:L35)-SUM(M32:M35)&lt;=0,1,0)*A31</f>
        <v>0</v>
      </c>
      <c r="B34" s="19" t="s">
        <v>226</v>
      </c>
      <c r="C34" s="17"/>
      <c r="D34" s="17"/>
      <c r="E34" s="18" t="s">
        <v>227</v>
      </c>
      <c r="F34" s="17"/>
      <c r="G34" s="17"/>
      <c r="H34" s="17"/>
      <c r="I34" s="17"/>
      <c r="J34" s="17"/>
      <c r="K34" s="12">
        <f>IF(COUNTBLANK(F34:I34)=3,F34*4,IF(COUNTBLANK(F34:I34)=2,(F34+G34)*2,IF(COUNTBLANK(F34:I34)=1,SUM(F34:H34)/0.75,SUM(F34:I34))))</f>
        <v>0</v>
      </c>
      <c r="L34" s="11">
        <f>IF(K34&gt;=40,1,IF(K34&gt;=20,2,4))</f>
        <v>4</v>
      </c>
      <c r="M34" s="11">
        <f>4-COUNTBLANK(F34:I34)</f>
        <v>0</v>
      </c>
      <c r="N34" s="11"/>
      <c r="O34" s="4" t="str">
        <f>[1]o!AE41</f>
        <v>havre, flyg-</v>
      </c>
    </row>
    <row r="35" spans="1:20" s="16" customFormat="1" ht="13.5" customHeight="1" thickBot="1" x14ac:dyDescent="0.25">
      <c r="A35" s="4">
        <f>A31*A32*A33*A34</f>
        <v>0</v>
      </c>
      <c r="B35" s="15" t="s">
        <v>228</v>
      </c>
      <c r="C35" s="13"/>
      <c r="D35" s="13"/>
      <c r="E35" s="14" t="s">
        <v>229</v>
      </c>
      <c r="F35" s="13"/>
      <c r="G35" s="13"/>
      <c r="H35" s="13"/>
      <c r="I35" s="13"/>
      <c r="J35" s="13"/>
      <c r="K35" s="12">
        <f>IF(COUNTBLANK(F35:I35)=3,F35*4,IF(COUNTBLANK(F35:I35)=2,(F35+G35)*2,IF(COUNTBLANK(F35:I35)=1,SUM(F35:H35)/0.75,SUM(F35:I35))))</f>
        <v>0</v>
      </c>
      <c r="L35" s="11">
        <f>IF(K35&gt;=40,1,IF(K35&gt;=20,2,4))</f>
        <v>4</v>
      </c>
      <c r="M35" s="11">
        <f>4-COUNTBLANK(F35:I35)</f>
        <v>0</v>
      </c>
      <c r="N35" s="11"/>
      <c r="O35" s="4" t="str">
        <f>[1]o!AE42</f>
        <v>havre, spill-</v>
      </c>
    </row>
    <row r="36" spans="1:20" s="16" customFormat="1" ht="13.5" customHeight="1" x14ac:dyDescent="0.2">
      <c r="A36" s="4">
        <f>IF(B37=0,0,1)</f>
        <v>0</v>
      </c>
      <c r="B36" s="27" t="s">
        <v>233</v>
      </c>
      <c r="C36" s="26" t="s">
        <v>218</v>
      </c>
      <c r="D36" s="25"/>
      <c r="E36" s="24"/>
      <c r="F36" s="23" t="s">
        <v>219</v>
      </c>
      <c r="G36" s="23" t="s">
        <v>219</v>
      </c>
      <c r="H36" s="23" t="s">
        <v>219</v>
      </c>
      <c r="I36" s="23" t="s">
        <v>219</v>
      </c>
      <c r="J36" s="22" t="s">
        <v>220</v>
      </c>
      <c r="K36" s="29"/>
      <c r="L36" s="28"/>
      <c r="M36" s="28"/>
      <c r="N36" s="28"/>
      <c r="O36" s="4" t="str">
        <f>[1]o!AE43</f>
        <v>hirs, höns-</v>
      </c>
    </row>
    <row r="37" spans="1:20" s="10" customFormat="1" ht="13.5" customHeight="1" x14ac:dyDescent="0.2">
      <c r="A37" s="4">
        <f>IF(AND(COUNTBLANK(C38:D40)=0,D36&gt;0),1,0)*A36</f>
        <v>0</v>
      </c>
      <c r="B37" s="21"/>
      <c r="C37" s="20" t="s">
        <v>221</v>
      </c>
      <c r="D37" s="20" t="s">
        <v>222</v>
      </c>
      <c r="E37" s="18" t="s">
        <v>223</v>
      </c>
      <c r="F37" s="17"/>
      <c r="G37" s="17"/>
      <c r="H37" s="17"/>
      <c r="I37" s="17"/>
      <c r="J37" s="17"/>
      <c r="K37" s="12">
        <f>IF(COUNTBLANK(F37:I37)=3,F37*4,IF(COUNTBLANK(F37:I37)=2,(F37+G37)*2,IF(COUNTBLANK(F37:I37)=1,SUM(F37:H37)/0.75,SUM(F37:I37))))</f>
        <v>0</v>
      </c>
      <c r="L37" s="11">
        <f>IF(K37&gt;=40,1,IF(K37&gt;=20,2,4))</f>
        <v>4</v>
      </c>
      <c r="M37" s="11">
        <f>4-COUNTBLANK(F37:I37)</f>
        <v>0</v>
      </c>
      <c r="N37" s="11">
        <f>COUNTBLANK(C36:J40)+COUNTBLANK(B37)</f>
        <v>29</v>
      </c>
      <c r="O37" s="4" t="str">
        <f>[1]o!AE44</f>
        <v>hästhov</v>
      </c>
      <c r="P37" s="16"/>
      <c r="S37" s="16"/>
      <c r="T37" s="16"/>
    </row>
    <row r="38" spans="1:20" s="4" customFormat="1" ht="13.5" customHeight="1" x14ac:dyDescent="0.2">
      <c r="A38" s="4">
        <f>IF(COUNTBLANK(J37:J40)=0,1,0)*A36</f>
        <v>0</v>
      </c>
      <c r="B38" s="19" t="s">
        <v>224</v>
      </c>
      <c r="C38" s="17"/>
      <c r="D38" s="17"/>
      <c r="E38" s="18" t="s">
        <v>225</v>
      </c>
      <c r="F38" s="17"/>
      <c r="G38" s="17"/>
      <c r="H38" s="17"/>
      <c r="I38" s="17"/>
      <c r="J38" s="17"/>
      <c r="K38" s="12">
        <f>IF(COUNTBLANK(F38:I38)=3,F38*4,IF(COUNTBLANK(F38:I38)=2,(F38+G38)*2,IF(COUNTBLANK(F38:I38)=1,SUM(F38:H38)/0.75,SUM(F38:I38))))</f>
        <v>0</v>
      </c>
      <c r="L38" s="11">
        <f>IF(K38&gt;=40,1,IF(K38&gt;=20,2,4))</f>
        <v>4</v>
      </c>
      <c r="M38" s="11">
        <f>4-COUNTBLANK(F38:I38)</f>
        <v>0</v>
      </c>
      <c r="N38" s="11"/>
      <c r="O38" s="4" t="str">
        <f>[1]o!AE45</f>
        <v>hönshirs</v>
      </c>
      <c r="P38" s="16"/>
      <c r="S38" s="16"/>
      <c r="T38" s="10"/>
    </row>
    <row r="39" spans="1:20" s="4" customFormat="1" ht="13.5" customHeight="1" x14ac:dyDescent="0.2">
      <c r="A39" s="4">
        <f>IF(SUM(L37:L40)-SUM(M37:M40)&lt;=0,1,0)*A36</f>
        <v>0</v>
      </c>
      <c r="B39" s="19" t="s">
        <v>226</v>
      </c>
      <c r="C39" s="17"/>
      <c r="D39" s="17"/>
      <c r="E39" s="18" t="s">
        <v>227</v>
      </c>
      <c r="F39" s="17"/>
      <c r="G39" s="17"/>
      <c r="H39" s="17"/>
      <c r="I39" s="17"/>
      <c r="J39" s="17"/>
      <c r="K39" s="12">
        <f>IF(COUNTBLANK(F39:I39)=3,F39*4,IF(COUNTBLANK(F39:I39)=2,(F39+G39)*2,IF(COUNTBLANK(F39:I39)=1,SUM(F39:H39)/0.75,SUM(F39:I39))))</f>
        <v>0</v>
      </c>
      <c r="L39" s="11">
        <f>IF(K39&gt;=40,1,IF(K39&gt;=20,2,4))</f>
        <v>4</v>
      </c>
      <c r="M39" s="11">
        <f>4-COUNTBLANK(F39:I39)</f>
        <v>0</v>
      </c>
      <c r="N39" s="11"/>
      <c r="O39" s="4" t="str">
        <f>[1]o!AE46</f>
        <v>ital rajgräs</v>
      </c>
      <c r="P39" s="16"/>
      <c r="S39" s="10"/>
    </row>
    <row r="40" spans="1:20" s="4" customFormat="1" ht="13.5" customHeight="1" thickBot="1" x14ac:dyDescent="0.25">
      <c r="A40" s="4">
        <f>A36*A37*A38*A39</f>
        <v>0</v>
      </c>
      <c r="B40" s="15" t="s">
        <v>228</v>
      </c>
      <c r="C40" s="13"/>
      <c r="D40" s="13"/>
      <c r="E40" s="14" t="s">
        <v>229</v>
      </c>
      <c r="F40" s="13"/>
      <c r="G40" s="13"/>
      <c r="H40" s="13"/>
      <c r="I40" s="13"/>
      <c r="J40" s="13"/>
      <c r="K40" s="12">
        <f>IF(COUNTBLANK(F40:I40)=3,F40*4,IF(COUNTBLANK(F40:I40)=2,(F40+G40)*2,IF(COUNTBLANK(F40:I40)=1,SUM(F40:H40)/0.75,SUM(F40:I40))))</f>
        <v>0</v>
      </c>
      <c r="L40" s="11">
        <f>IF(K40&gt;=40,1,IF(K40&gt;=20,2,4))</f>
        <v>4</v>
      </c>
      <c r="M40" s="11">
        <f>4-COUNTBLANK(F40:I40)</f>
        <v>0</v>
      </c>
      <c r="N40" s="11"/>
      <c r="O40" s="4" t="str">
        <f>[1]o!AE47</f>
        <v>jordrök</v>
      </c>
      <c r="P40" s="10"/>
    </row>
    <row r="41" spans="1:20" s="16" customFormat="1" ht="13.5" customHeight="1" x14ac:dyDescent="0.2">
      <c r="A41" s="4">
        <f>IF(B42=0,0,1)</f>
        <v>0</v>
      </c>
      <c r="B41" s="27" t="s">
        <v>234</v>
      </c>
      <c r="C41" s="26" t="s">
        <v>218</v>
      </c>
      <c r="D41" s="25"/>
      <c r="E41" s="24"/>
      <c r="F41" s="23" t="s">
        <v>219</v>
      </c>
      <c r="G41" s="23" t="s">
        <v>219</v>
      </c>
      <c r="H41" s="23" t="s">
        <v>219</v>
      </c>
      <c r="I41" s="23" t="s">
        <v>219</v>
      </c>
      <c r="J41" s="22" t="s">
        <v>220</v>
      </c>
      <c r="K41" s="12"/>
      <c r="L41" s="11"/>
      <c r="M41" s="11"/>
      <c r="N41" s="11"/>
      <c r="O41" s="4" t="str">
        <f>[1]o!AE48</f>
        <v>kamomill, gat-</v>
      </c>
    </row>
    <row r="42" spans="1:20" s="10" customFormat="1" ht="13.5" customHeight="1" x14ac:dyDescent="0.2">
      <c r="A42" s="4">
        <f>IF(AND(COUNTBLANK(C43:D45)=0,D41&gt;0),1,0)*A41</f>
        <v>0</v>
      </c>
      <c r="B42" s="21"/>
      <c r="C42" s="20" t="s">
        <v>221</v>
      </c>
      <c r="D42" s="20" t="s">
        <v>222</v>
      </c>
      <c r="E42" s="18" t="s">
        <v>223</v>
      </c>
      <c r="F42" s="17"/>
      <c r="G42" s="17"/>
      <c r="H42" s="17"/>
      <c r="I42" s="17"/>
      <c r="J42" s="17"/>
      <c r="K42" s="12">
        <f>IF(COUNTBLANK(F42:I42)=3,F42*4,IF(COUNTBLANK(F42:I42)=2,(F42+G42)*2,IF(COUNTBLANK(F42:I42)=1,SUM(F42:H42)/0.75,SUM(F42:I42))))</f>
        <v>0</v>
      </c>
      <c r="L42" s="11">
        <f>IF(K42&gt;=40,1,IF(K42&gt;=20,2,4))</f>
        <v>4</v>
      </c>
      <c r="M42" s="11">
        <f>4-COUNTBLANK(F42:I42)</f>
        <v>0</v>
      </c>
      <c r="N42" s="11">
        <f>COUNTBLANK(C41:J45)+COUNTBLANK(B42)</f>
        <v>29</v>
      </c>
      <c r="O42" s="4" t="str">
        <f>[1]o!AE49</f>
        <v>kamomill, vanlig</v>
      </c>
      <c r="P42" s="16"/>
      <c r="S42" s="16"/>
      <c r="T42" s="16"/>
    </row>
    <row r="43" spans="1:20" s="4" customFormat="1" ht="13.5" customHeight="1" x14ac:dyDescent="0.2">
      <c r="A43" s="4">
        <f>IF(COUNTBLANK(J42:J45)=0,1,0)*A41</f>
        <v>0</v>
      </c>
      <c r="B43" s="19" t="s">
        <v>224</v>
      </c>
      <c r="C43" s="17"/>
      <c r="D43" s="17"/>
      <c r="E43" s="18" t="s">
        <v>225</v>
      </c>
      <c r="F43" s="17"/>
      <c r="G43" s="17"/>
      <c r="H43" s="17"/>
      <c r="I43" s="17"/>
      <c r="J43" s="17"/>
      <c r="K43" s="12">
        <f>IF(COUNTBLANK(F43:I43)=3,F43*4,IF(COUNTBLANK(F43:I43)=2,(F43+G43)*2,IF(COUNTBLANK(F43:I43)=1,SUM(F43:H43)/0.75,SUM(F43:I43))))</f>
        <v>0</v>
      </c>
      <c r="L43" s="11">
        <f>IF(K43&gt;=40,1,IF(K43&gt;=20,2,4))</f>
        <v>4</v>
      </c>
      <c r="M43" s="11">
        <f>4-COUNTBLANK(F43:I43)</f>
        <v>0</v>
      </c>
      <c r="N43" s="11"/>
      <c r="O43" s="4" t="str">
        <f>[1]o!AE50</f>
        <v>kirskål</v>
      </c>
      <c r="P43" s="16"/>
      <c r="S43" s="16"/>
      <c r="T43" s="10"/>
    </row>
    <row r="44" spans="1:20" s="4" customFormat="1" ht="13.5" customHeight="1" x14ac:dyDescent="0.2">
      <c r="A44" s="4">
        <f>IF(SUM(L42:L45)-SUM(M42:M45)&lt;=0,1,0)*A41</f>
        <v>0</v>
      </c>
      <c r="B44" s="19" t="s">
        <v>226</v>
      </c>
      <c r="C44" s="17"/>
      <c r="D44" s="17"/>
      <c r="E44" s="18" t="s">
        <v>227</v>
      </c>
      <c r="F44" s="17"/>
      <c r="G44" s="17"/>
      <c r="H44" s="17"/>
      <c r="I44" s="17"/>
      <c r="J44" s="17"/>
      <c r="K44" s="12">
        <f>IF(COUNTBLANK(F44:I44)=3,F44*4,IF(COUNTBLANK(F44:I44)=2,(F44+G44)*2,IF(COUNTBLANK(F44:I44)=1,SUM(F44:H44)/0.75,SUM(F44:I44))))</f>
        <v>0</v>
      </c>
      <c r="L44" s="11">
        <f>IF(K44&gt;=40,1,IF(K44&gt;=20,2,4))</f>
        <v>4</v>
      </c>
      <c r="M44" s="11">
        <f>4-COUNTBLANK(F44:I44)</f>
        <v>0</v>
      </c>
      <c r="N44" s="11"/>
      <c r="O44" s="4" t="str">
        <f>[1]o!AE51</f>
        <v>knölsyska</v>
      </c>
      <c r="P44" s="16"/>
      <c r="S44" s="10"/>
    </row>
    <row r="45" spans="1:20" s="4" customFormat="1" ht="13.5" customHeight="1" thickBot="1" x14ac:dyDescent="0.25">
      <c r="A45" s="4">
        <f>A41*A42*A43*A44</f>
        <v>0</v>
      </c>
      <c r="B45" s="15" t="s">
        <v>228</v>
      </c>
      <c r="C45" s="13"/>
      <c r="D45" s="13"/>
      <c r="E45" s="14" t="s">
        <v>229</v>
      </c>
      <c r="F45" s="13"/>
      <c r="G45" s="13"/>
      <c r="H45" s="13"/>
      <c r="I45" s="13"/>
      <c r="J45" s="13"/>
      <c r="K45" s="12">
        <f>IF(COUNTBLANK(F45:I45)=3,F45*4,IF(COUNTBLANK(F45:I45)=2,(F45+G45)*2,IF(COUNTBLANK(F45:I45)=1,SUM(F45:H45)/0.75,SUM(F45:I45))))</f>
        <v>0</v>
      </c>
      <c r="L45" s="11">
        <f>IF(K45&gt;=40,1,IF(K45&gt;=20,2,4))</f>
        <v>4</v>
      </c>
      <c r="M45" s="11">
        <f>4-COUNTBLANK(F45:I45)</f>
        <v>0</v>
      </c>
      <c r="N45" s="11"/>
      <c r="O45" s="4" t="str">
        <f>[1]o!AE52</f>
        <v>korn, spill-</v>
      </c>
      <c r="P45" s="10"/>
    </row>
    <row r="46" spans="1:20" s="16" customFormat="1" ht="13.5" customHeight="1" x14ac:dyDescent="0.2">
      <c r="A46" s="4">
        <f>IF(B47=0,0,1)</f>
        <v>0</v>
      </c>
      <c r="B46" s="27" t="s">
        <v>235</v>
      </c>
      <c r="C46" s="26" t="s">
        <v>218</v>
      </c>
      <c r="D46" s="25"/>
      <c r="E46" s="24"/>
      <c r="F46" s="23" t="s">
        <v>219</v>
      </c>
      <c r="G46" s="23" t="s">
        <v>219</v>
      </c>
      <c r="H46" s="23" t="s">
        <v>219</v>
      </c>
      <c r="I46" s="23" t="s">
        <v>219</v>
      </c>
      <c r="J46" s="22" t="s">
        <v>220</v>
      </c>
      <c r="K46" s="29"/>
      <c r="L46" s="28"/>
      <c r="M46" s="28"/>
      <c r="N46" s="28"/>
      <c r="O46" s="4" t="str">
        <f>[1]o!AE53</f>
        <v>kornvallmo</v>
      </c>
    </row>
    <row r="47" spans="1:20" s="10" customFormat="1" ht="13.5" customHeight="1" x14ac:dyDescent="0.2">
      <c r="A47" s="4">
        <f>IF(AND(COUNTBLANK(C48:D50)=0,D46&gt;0),1,0)*A46</f>
        <v>0</v>
      </c>
      <c r="B47" s="21"/>
      <c r="C47" s="20" t="s">
        <v>221</v>
      </c>
      <c r="D47" s="20" t="s">
        <v>222</v>
      </c>
      <c r="E47" s="18" t="s">
        <v>223</v>
      </c>
      <c r="F47" s="17"/>
      <c r="G47" s="17"/>
      <c r="H47" s="17"/>
      <c r="I47" s="17"/>
      <c r="J47" s="17"/>
      <c r="K47" s="12">
        <f>IF(COUNTBLANK(F47:I47)=3,F47*4,IF(COUNTBLANK(F47:I47)=2,(F47+G47)*2,IF(COUNTBLANK(F47:I47)=1,SUM(F47:H47)/0.75,SUM(F47:I47))))</f>
        <v>0</v>
      </c>
      <c r="L47" s="11">
        <f>IF(K47&gt;=40,1,IF(K47&gt;=20,2,4))</f>
        <v>4</v>
      </c>
      <c r="M47" s="11">
        <f>4-COUNTBLANK(F47:I47)</f>
        <v>0</v>
      </c>
      <c r="N47" s="11">
        <f>COUNTBLANK(C46:J50)+COUNTBLANK(B47)</f>
        <v>29</v>
      </c>
      <c r="O47" s="4" t="str">
        <f>[1]o!AE54</f>
        <v>korsört</v>
      </c>
      <c r="P47" s="16"/>
      <c r="S47" s="16"/>
      <c r="T47" s="16"/>
    </row>
    <row r="48" spans="1:20" s="4" customFormat="1" ht="13.5" customHeight="1" x14ac:dyDescent="0.2">
      <c r="A48" s="4">
        <f>IF(COUNTBLANK(J47:J50)=0,1,0)*A46</f>
        <v>0</v>
      </c>
      <c r="B48" s="19" t="s">
        <v>224</v>
      </c>
      <c r="C48" s="17"/>
      <c r="D48" s="17"/>
      <c r="E48" s="18" t="s">
        <v>225</v>
      </c>
      <c r="F48" s="17"/>
      <c r="G48" s="17"/>
      <c r="H48" s="17"/>
      <c r="I48" s="17"/>
      <c r="J48" s="17"/>
      <c r="K48" s="12">
        <f>IF(COUNTBLANK(F48:I48)=3,F48*4,IF(COUNTBLANK(F48:I48)=2,(F48+G48)*2,IF(COUNTBLANK(F48:I48)=1,SUM(F48:H48)/0.75,SUM(F48:I48))))</f>
        <v>0</v>
      </c>
      <c r="L48" s="11">
        <f>IF(K48&gt;=40,1,IF(K48&gt;=20,2,4))</f>
        <v>4</v>
      </c>
      <c r="M48" s="11">
        <f>4-COUNTBLANK(F48:I48)</f>
        <v>0</v>
      </c>
      <c r="N48" s="11"/>
      <c r="O48" s="4" t="str">
        <f>[1]o!AE55</f>
        <v>kvickrot</v>
      </c>
      <c r="P48" s="16"/>
      <c r="S48" s="16"/>
      <c r="T48" s="10"/>
    </row>
    <row r="49" spans="1:20" s="4" customFormat="1" ht="13.5" customHeight="1" x14ac:dyDescent="0.2">
      <c r="A49" s="4">
        <f>IF(SUM(L47:L50)-SUM(M47:M50)&lt;=0,1,0)*A46</f>
        <v>0</v>
      </c>
      <c r="B49" s="19" t="s">
        <v>226</v>
      </c>
      <c r="C49" s="17"/>
      <c r="D49" s="17"/>
      <c r="E49" s="18" t="s">
        <v>227</v>
      </c>
      <c r="F49" s="17"/>
      <c r="G49" s="17"/>
      <c r="H49" s="17"/>
      <c r="I49" s="17"/>
      <c r="J49" s="17"/>
      <c r="K49" s="12">
        <f>IF(COUNTBLANK(F49:I49)=3,F49*4,IF(COUNTBLANK(F49:I49)=2,(F49+G49)*2,IF(COUNTBLANK(F49:I49)=1,SUM(F49:H49)/0.75,SUM(F49:I49))))</f>
        <v>0</v>
      </c>
      <c r="L49" s="11">
        <f>IF(K49&gt;=40,1,IF(K49&gt;=20,2,4))</f>
        <v>4</v>
      </c>
      <c r="M49" s="11">
        <f>4-COUNTBLANK(F49:I49)</f>
        <v>0</v>
      </c>
      <c r="N49" s="11"/>
      <c r="O49" s="4" t="str">
        <f>[1]o!AE56</f>
        <v>kämpar, röd-</v>
      </c>
      <c r="P49" s="16"/>
      <c r="S49" s="10"/>
    </row>
    <row r="50" spans="1:20" s="4" customFormat="1" ht="13.5" customHeight="1" thickBot="1" x14ac:dyDescent="0.25">
      <c r="A50" s="4">
        <f>A46*A47*A48*A49</f>
        <v>0</v>
      </c>
      <c r="B50" s="15" t="s">
        <v>228</v>
      </c>
      <c r="C50" s="13"/>
      <c r="D50" s="13"/>
      <c r="E50" s="14" t="s">
        <v>229</v>
      </c>
      <c r="F50" s="13"/>
      <c r="G50" s="13"/>
      <c r="H50" s="13"/>
      <c r="I50" s="13"/>
      <c r="J50" s="13"/>
      <c r="K50" s="12">
        <f>IF(COUNTBLANK(F50:I50)=3,F50*4,IF(COUNTBLANK(F50:I50)=2,(F50+G50)*2,IF(COUNTBLANK(F50:I50)=1,SUM(F50:H50)/0.75,SUM(F50:I50))))</f>
        <v>0</v>
      </c>
      <c r="L50" s="11">
        <f>IF(K50&gt;=40,1,IF(K50&gt;=20,2,4))</f>
        <v>4</v>
      </c>
      <c r="M50" s="11">
        <f>4-COUNTBLANK(F50:I50)</f>
        <v>0</v>
      </c>
      <c r="N50" s="11"/>
      <c r="O50" s="4" t="str">
        <f>[1]o!AE57</f>
        <v>kämpar, svart-</v>
      </c>
      <c r="P50" s="10"/>
    </row>
    <row r="51" spans="1:20" s="16" customFormat="1" ht="13.5" customHeight="1" x14ac:dyDescent="0.2">
      <c r="A51" s="4">
        <f>IF(B52=0,0,1)</f>
        <v>0</v>
      </c>
      <c r="B51" s="27" t="s">
        <v>236</v>
      </c>
      <c r="C51" s="26" t="s">
        <v>218</v>
      </c>
      <c r="D51" s="25"/>
      <c r="E51" s="24"/>
      <c r="F51" s="23" t="s">
        <v>219</v>
      </c>
      <c r="G51" s="23" t="s">
        <v>219</v>
      </c>
      <c r="H51" s="23" t="s">
        <v>219</v>
      </c>
      <c r="I51" s="23" t="s">
        <v>219</v>
      </c>
      <c r="J51" s="22" t="s">
        <v>220</v>
      </c>
      <c r="K51" s="12"/>
      <c r="L51" s="11"/>
      <c r="M51" s="11"/>
      <c r="N51" s="11"/>
      <c r="O51" s="4" t="str">
        <f>[1]o!AE58</f>
        <v>lomme</v>
      </c>
    </row>
    <row r="52" spans="1:20" s="10" customFormat="1" ht="13.5" customHeight="1" x14ac:dyDescent="0.2">
      <c r="A52" s="4">
        <f>IF(AND(COUNTBLANK(C53:D55)=0,D51&gt;0),1,0)*A51</f>
        <v>0</v>
      </c>
      <c r="B52" s="21"/>
      <c r="C52" s="20" t="s">
        <v>221</v>
      </c>
      <c r="D52" s="20" t="s">
        <v>222</v>
      </c>
      <c r="E52" s="18" t="s">
        <v>223</v>
      </c>
      <c r="F52" s="17"/>
      <c r="G52" s="17"/>
      <c r="H52" s="17"/>
      <c r="I52" s="17"/>
      <c r="J52" s="17"/>
      <c r="K52" s="12">
        <f>IF(COUNTBLANK(F52:I52)=3,F52*4,IF(COUNTBLANK(F52:I52)=2,(F52+G52)*2,IF(COUNTBLANK(F52:I52)=1,SUM(F52:H52)/0.75,SUM(F52:I52))))</f>
        <v>0</v>
      </c>
      <c r="L52" s="11">
        <f>IF(K52&gt;=40,1,IF(K52&gt;=20,2,4))</f>
        <v>4</v>
      </c>
      <c r="M52" s="11">
        <f>4-COUNTBLANK(F52:I52)</f>
        <v>0</v>
      </c>
      <c r="N52" s="11">
        <f>COUNTBLANK(C51:J55)+COUNTBLANK(B52)</f>
        <v>29</v>
      </c>
      <c r="O52" s="4" t="str">
        <f>[1]o!AE59</f>
        <v>majveronika</v>
      </c>
      <c r="P52" s="16"/>
      <c r="S52" s="16"/>
      <c r="T52" s="16"/>
    </row>
    <row r="53" spans="1:20" s="4" customFormat="1" ht="13.5" customHeight="1" x14ac:dyDescent="0.2">
      <c r="A53" s="4">
        <f>IF(COUNTBLANK(J52:J55)=0,1,0)*A51</f>
        <v>0</v>
      </c>
      <c r="B53" s="19" t="s">
        <v>224</v>
      </c>
      <c r="C53" s="17"/>
      <c r="D53" s="17"/>
      <c r="E53" s="18" t="s">
        <v>225</v>
      </c>
      <c r="F53" s="17"/>
      <c r="G53" s="17"/>
      <c r="H53" s="17"/>
      <c r="I53" s="17"/>
      <c r="J53" s="17"/>
      <c r="K53" s="12">
        <f>IF(COUNTBLANK(F53:I53)=3,F53*4,IF(COUNTBLANK(F53:I53)=2,(F53+G53)*2,IF(COUNTBLANK(F53:I53)=1,SUM(F53:H53)/0.75,SUM(F53:I53))))</f>
        <v>0</v>
      </c>
      <c r="L53" s="11">
        <f>IF(K53&gt;=40,1,IF(K53&gt;=20,2,4))</f>
        <v>4</v>
      </c>
      <c r="M53" s="11">
        <f>4-COUNTBLANK(F53:I53)</f>
        <v>0</v>
      </c>
      <c r="N53" s="11"/>
      <c r="O53" s="4" t="str">
        <f>[1]o!AE60</f>
        <v>maskros</v>
      </c>
      <c r="P53" s="16"/>
      <c r="S53" s="16"/>
      <c r="T53" s="10"/>
    </row>
    <row r="54" spans="1:20" s="4" customFormat="1" ht="13.5" customHeight="1" x14ac:dyDescent="0.2">
      <c r="A54" s="4">
        <f>IF(SUM(L52:L55)-SUM(M52:M55)&lt;=0,1,0)*A51</f>
        <v>0</v>
      </c>
      <c r="B54" s="19" t="s">
        <v>226</v>
      </c>
      <c r="C54" s="17"/>
      <c r="D54" s="17"/>
      <c r="E54" s="18" t="s">
        <v>227</v>
      </c>
      <c r="F54" s="17"/>
      <c r="G54" s="17"/>
      <c r="H54" s="17"/>
      <c r="I54" s="17"/>
      <c r="J54" s="17"/>
      <c r="K54" s="12">
        <f>IF(COUNTBLANK(F54:I54)=3,F54*4,IF(COUNTBLANK(F54:I54)=2,(F54+G54)*2,IF(COUNTBLANK(F54:I54)=1,SUM(F54:H54)/0.75,SUM(F54:I54))))</f>
        <v>0</v>
      </c>
      <c r="L54" s="11">
        <f>IF(K54&gt;=40,1,IF(K54&gt;=20,2,4))</f>
        <v>4</v>
      </c>
      <c r="M54" s="11">
        <f>4-COUNTBLANK(F54:I54)</f>
        <v>0</v>
      </c>
      <c r="N54" s="11"/>
      <c r="O54" s="4" t="str">
        <f>[1]o!AE61</f>
        <v>mjukdån</v>
      </c>
      <c r="P54" s="16"/>
      <c r="S54" s="10"/>
    </row>
    <row r="55" spans="1:20" s="4" customFormat="1" ht="13.5" customHeight="1" thickBot="1" x14ac:dyDescent="0.25">
      <c r="A55" s="4">
        <f>A51*A52*A53*A54</f>
        <v>0</v>
      </c>
      <c r="B55" s="15" t="s">
        <v>228</v>
      </c>
      <c r="C55" s="13"/>
      <c r="D55" s="13"/>
      <c r="E55" s="14" t="s">
        <v>229</v>
      </c>
      <c r="F55" s="13"/>
      <c r="G55" s="13"/>
      <c r="H55" s="13"/>
      <c r="I55" s="13"/>
      <c r="J55" s="13"/>
      <c r="K55" s="12">
        <f>IF(COUNTBLANK(F55:I55)=3,F55*4,IF(COUNTBLANK(F55:I55)=2,(F55+G55)*2,IF(COUNTBLANK(F55:I55)=1,SUM(F55:H55)/0.75,SUM(F55:I55))))</f>
        <v>0</v>
      </c>
      <c r="L55" s="11">
        <f>IF(K55&gt;=40,1,IF(K55&gt;=20,2,4))</f>
        <v>4</v>
      </c>
      <c r="M55" s="11">
        <f>4-COUNTBLANK(F55:I55)</f>
        <v>0</v>
      </c>
      <c r="N55" s="11"/>
      <c r="O55" s="4" t="str">
        <f>[1]o!AE62</f>
        <v>mjuknäva</v>
      </c>
      <c r="P55" s="10"/>
    </row>
    <row r="56" spans="1:20" s="4" customFormat="1" ht="11.25" customHeight="1" x14ac:dyDescent="0.2">
      <c r="B56" s="9" t="s">
        <v>237</v>
      </c>
      <c r="C56" s="194" t="s">
        <v>238</v>
      </c>
      <c r="D56" s="194"/>
      <c r="E56" s="6"/>
      <c r="F56" s="6"/>
      <c r="G56" s="6"/>
      <c r="H56" s="6"/>
      <c r="I56" s="6"/>
      <c r="J56" s="8"/>
      <c r="O56" s="4" t="str">
        <f>[1]o!AE64</f>
        <v>molke, åker-</v>
      </c>
    </row>
    <row r="57" spans="1:20" s="4" customFormat="1" ht="11.25" customHeight="1" x14ac:dyDescent="0.2">
      <c r="B57" s="195"/>
      <c r="C57" s="197"/>
      <c r="D57" s="198"/>
      <c r="E57" s="6"/>
      <c r="F57" s="201"/>
      <c r="G57" s="201"/>
      <c r="H57" s="201"/>
      <c r="I57" s="201"/>
      <c r="J57" s="202"/>
      <c r="O57" s="4" t="str">
        <f>[1]o!AE65</f>
        <v>murgrönsveronika</v>
      </c>
    </row>
    <row r="58" spans="1:20" s="4" customFormat="1" ht="11.25" customHeight="1" x14ac:dyDescent="0.2">
      <c r="A58" s="4">
        <f>IF(OR(ISBLANK(B57),ISBLANK(C57)),1000,0)</f>
        <v>1000</v>
      </c>
      <c r="B58" s="196"/>
      <c r="C58" s="199"/>
      <c r="D58" s="200"/>
      <c r="E58" s="7"/>
      <c r="F58" s="203"/>
      <c r="G58" s="203"/>
      <c r="H58" s="203"/>
      <c r="I58" s="203"/>
      <c r="J58" s="204"/>
      <c r="O58" s="4" t="str">
        <f>[1]o!AE66</f>
        <v>målla</v>
      </c>
    </row>
    <row r="59" spans="1:20" s="4" customFormat="1" ht="11.25" customHeight="1" x14ac:dyDescent="0.2">
      <c r="B59" s="6"/>
      <c r="C59" s="6"/>
      <c r="D59" s="6"/>
      <c r="E59" s="6"/>
      <c r="F59" s="6"/>
      <c r="G59" s="6"/>
      <c r="H59" s="6"/>
      <c r="I59" s="6"/>
      <c r="J59" s="6"/>
      <c r="O59" s="4" t="str">
        <f>[1]o!AE67</f>
        <v>målla, svin-</v>
      </c>
    </row>
    <row r="60" spans="1:20" s="4" customFormat="1" ht="11.25" customHeight="1" x14ac:dyDescent="0.2">
      <c r="B60" s="6"/>
      <c r="C60" s="6"/>
      <c r="D60" s="6"/>
      <c r="E60" s="6"/>
      <c r="F60" s="6"/>
      <c r="G60" s="6"/>
      <c r="H60" s="6"/>
      <c r="I60" s="6"/>
      <c r="J60" s="6"/>
      <c r="O60" s="4" t="str">
        <f>[1]o!AE68</f>
        <v>målla, väg-</v>
      </c>
    </row>
    <row r="61" spans="1:20" s="4" customFormat="1" ht="11.25" customHeight="1" x14ac:dyDescent="0.2">
      <c r="B61" s="6"/>
      <c r="C61" s="6"/>
      <c r="D61" s="6"/>
      <c r="E61" s="6"/>
      <c r="F61" s="6"/>
      <c r="G61" s="6"/>
      <c r="H61" s="6"/>
      <c r="I61" s="6"/>
      <c r="J61" s="6"/>
      <c r="O61" s="4" t="str">
        <f>[1]o!AE69</f>
        <v>måra, gul-</v>
      </c>
    </row>
    <row r="62" spans="1:20" s="4" customFormat="1" ht="11.25" customHeight="1" x14ac:dyDescent="0.2">
      <c r="B62" s="6"/>
      <c r="C62" s="6"/>
      <c r="D62" s="6"/>
      <c r="E62" s="6"/>
      <c r="F62" s="6"/>
      <c r="G62" s="6"/>
      <c r="H62" s="6"/>
      <c r="I62" s="6"/>
      <c r="J62" s="6"/>
      <c r="K62" s="5"/>
      <c r="L62" s="5"/>
      <c r="M62" s="5"/>
      <c r="N62" s="5"/>
      <c r="O62" s="4" t="str">
        <f>[1]o!AE70</f>
        <v>måra, snärj-</v>
      </c>
    </row>
    <row r="63" spans="1:20" s="4" customFormat="1" ht="11.25" customHeight="1" x14ac:dyDescent="0.2">
      <c r="B63" s="6"/>
      <c r="C63" s="6"/>
      <c r="D63" s="6"/>
      <c r="E63" s="6"/>
      <c r="F63" s="6"/>
      <c r="G63" s="6"/>
      <c r="H63" s="6"/>
      <c r="I63" s="6"/>
      <c r="J63" s="6"/>
      <c r="K63" s="5"/>
      <c r="L63" s="5"/>
      <c r="M63" s="5"/>
      <c r="N63" s="5"/>
      <c r="O63" s="4" t="str">
        <f>[1]o!AE71</f>
        <v>nässla, bränn-</v>
      </c>
    </row>
    <row r="64" spans="1:20" s="4" customFormat="1" ht="11.25" customHeight="1" x14ac:dyDescent="0.2">
      <c r="B64" s="6"/>
      <c r="C64" s="6"/>
      <c r="D64" s="6"/>
      <c r="E64" s="6"/>
      <c r="F64" s="6"/>
      <c r="G64" s="6"/>
      <c r="H64" s="6"/>
      <c r="I64" s="6"/>
      <c r="J64" s="6"/>
      <c r="K64" s="5"/>
      <c r="L64" s="5"/>
      <c r="M64" s="5"/>
      <c r="N64" s="5"/>
      <c r="O64" s="4" t="str">
        <f>[1]o!AE72</f>
        <v>nässla, etter-</v>
      </c>
    </row>
    <row r="65" spans="1:15" s="4" customFormat="1" ht="11.25" customHeight="1" x14ac:dyDescent="0.2">
      <c r="B65" s="6"/>
      <c r="C65" s="6"/>
      <c r="D65" s="6"/>
      <c r="E65" s="6"/>
      <c r="F65" s="6"/>
      <c r="G65" s="6"/>
      <c r="H65" s="6"/>
      <c r="I65" s="6"/>
      <c r="J65" s="6"/>
      <c r="K65" s="5"/>
      <c r="L65" s="5"/>
      <c r="M65" s="5"/>
      <c r="N65" s="5"/>
      <c r="O65" s="4" t="str">
        <f>[1]o!AE73</f>
        <v>näva, flik-</v>
      </c>
    </row>
    <row r="66" spans="1:15" s="4" customFormat="1" ht="11.25" customHeight="1" x14ac:dyDescent="0.25">
      <c r="A66" s="1"/>
      <c r="B66" s="6"/>
      <c r="C66" s="6"/>
      <c r="D66" s="6"/>
      <c r="E66" s="6"/>
      <c r="F66" s="6"/>
      <c r="G66" s="6"/>
      <c r="H66" s="6"/>
      <c r="I66" s="6"/>
      <c r="J66" s="6"/>
      <c r="K66" s="5"/>
      <c r="L66" s="5"/>
      <c r="M66" s="5"/>
      <c r="N66" s="5"/>
      <c r="O66" s="4" t="str">
        <f>[1]o!AE74</f>
        <v>näva, mjuk-</v>
      </c>
    </row>
    <row r="67" spans="1:15" s="4" customFormat="1" ht="11.25" customHeight="1" x14ac:dyDescent="0.25">
      <c r="A67" s="1"/>
      <c r="B67" s="6"/>
      <c r="C67" s="6"/>
      <c r="D67" s="6"/>
      <c r="E67" s="6"/>
      <c r="F67" s="6"/>
      <c r="G67" s="6"/>
      <c r="H67" s="6"/>
      <c r="I67" s="6"/>
      <c r="J67" s="6"/>
      <c r="K67" s="5"/>
      <c r="L67" s="5"/>
      <c r="M67" s="5"/>
      <c r="N67" s="5"/>
      <c r="O67" s="4" t="str">
        <f>[1]o!AE75</f>
        <v>näva, skat-</v>
      </c>
    </row>
    <row r="68" spans="1:15" s="4" customFormat="1" ht="11.25" customHeight="1" x14ac:dyDescent="0.25">
      <c r="A68" s="1"/>
      <c r="B68" s="6"/>
      <c r="C68" s="6"/>
      <c r="D68" s="6"/>
      <c r="E68" s="6"/>
      <c r="F68" s="6"/>
      <c r="G68" s="6"/>
      <c r="H68" s="6"/>
      <c r="I68" s="6"/>
      <c r="J68" s="6"/>
      <c r="K68" s="5"/>
      <c r="L68" s="5"/>
      <c r="M68" s="5"/>
      <c r="N68" s="5"/>
      <c r="O68" s="4" t="str">
        <f>[1]o!AE76</f>
        <v>näva, sparv-</v>
      </c>
    </row>
    <row r="69" spans="1:15" s="4" customFormat="1" ht="11.25" customHeight="1" x14ac:dyDescent="0.25">
      <c r="A69" s="1"/>
      <c r="B69" s="6"/>
      <c r="C69" s="6"/>
      <c r="D69" s="6"/>
      <c r="E69" s="6"/>
      <c r="F69" s="6"/>
      <c r="G69" s="6"/>
      <c r="H69" s="6"/>
      <c r="I69" s="6"/>
      <c r="J69" s="6"/>
      <c r="K69" s="5"/>
      <c r="L69" s="5"/>
      <c r="M69" s="5"/>
      <c r="N69" s="5"/>
      <c r="O69" s="4" t="str">
        <f>[1]o!AE77</f>
        <v>näva, stink-</v>
      </c>
    </row>
    <row r="70" spans="1:15" s="4" customFormat="1" ht="11.25" customHeight="1" x14ac:dyDescent="0.25">
      <c r="A70" s="1"/>
      <c r="B70" s="6"/>
      <c r="C70" s="6"/>
      <c r="D70" s="6"/>
      <c r="E70" s="6"/>
      <c r="F70" s="6"/>
      <c r="G70" s="6"/>
      <c r="H70" s="6"/>
      <c r="I70" s="6"/>
      <c r="J70" s="6"/>
      <c r="K70" s="5"/>
      <c r="L70" s="5"/>
      <c r="M70" s="5"/>
      <c r="N70" s="5"/>
      <c r="O70" s="4" t="str">
        <f>[1]o!AE78</f>
        <v>ogräs ospec</v>
      </c>
    </row>
    <row r="71" spans="1:15" s="4" customFormat="1" ht="11.25" customHeight="1" x14ac:dyDescent="0.25">
      <c r="A71" s="1"/>
      <c r="B71" s="3"/>
      <c r="C71" s="3"/>
      <c r="D71" s="3"/>
      <c r="E71" s="3"/>
      <c r="F71" s="3"/>
      <c r="G71" s="3"/>
      <c r="H71" s="3"/>
      <c r="I71" s="3"/>
      <c r="J71" s="3"/>
      <c r="K71" s="5"/>
      <c r="L71" s="5"/>
      <c r="M71" s="5"/>
      <c r="N71" s="5"/>
      <c r="O71" s="4" t="str">
        <f>[1]o!AE79</f>
        <v>penningört</v>
      </c>
    </row>
    <row r="72" spans="1:15" s="4" customFormat="1" x14ac:dyDescent="0.25">
      <c r="A72" s="1"/>
      <c r="B72" s="3"/>
      <c r="C72" s="3"/>
      <c r="D72" s="3"/>
      <c r="E72" s="3"/>
      <c r="F72" s="3"/>
      <c r="G72" s="3"/>
      <c r="H72" s="3"/>
      <c r="I72" s="3"/>
      <c r="J72" s="3"/>
      <c r="K72" s="5"/>
      <c r="L72" s="5"/>
      <c r="M72" s="5"/>
      <c r="N72" s="5"/>
      <c r="O72" s="4" t="str">
        <f>[1]o!AE80</f>
        <v>pilört</v>
      </c>
    </row>
    <row r="73" spans="1:15" s="4" customFormat="1" x14ac:dyDescent="0.25">
      <c r="A73" s="1"/>
      <c r="B73" s="3"/>
      <c r="C73" s="3"/>
      <c r="D73" s="3"/>
      <c r="E73" s="3"/>
      <c r="F73" s="3"/>
      <c r="G73" s="3"/>
      <c r="H73" s="3"/>
      <c r="I73" s="3"/>
      <c r="J73" s="3"/>
      <c r="K73" s="5"/>
      <c r="L73" s="5"/>
      <c r="M73" s="5"/>
      <c r="N73" s="5"/>
      <c r="O73" s="4" t="str">
        <f>[1]o!AE81</f>
        <v>pilört, bitter-</v>
      </c>
    </row>
    <row r="74" spans="1:15" s="4" customFormat="1" x14ac:dyDescent="0.25">
      <c r="A74" s="1"/>
      <c r="B74" s="3"/>
      <c r="C74" s="3"/>
      <c r="D74" s="3"/>
      <c r="E74" s="3"/>
      <c r="F74" s="3"/>
      <c r="G74" s="3"/>
      <c r="H74" s="3"/>
      <c r="I74" s="3"/>
      <c r="J74" s="3"/>
      <c r="K74" s="5"/>
      <c r="L74" s="5"/>
      <c r="M74" s="5"/>
      <c r="N74" s="5"/>
      <c r="O74" s="4" t="str">
        <f>[1]o!AE82</f>
        <v>pilört, vanlig</v>
      </c>
    </row>
    <row r="75" spans="1:15" s="4" customFormat="1" x14ac:dyDescent="0.25">
      <c r="A75" s="1"/>
      <c r="B75" s="3"/>
      <c r="C75" s="3"/>
      <c r="D75" s="3"/>
      <c r="E75" s="3"/>
      <c r="F75" s="3"/>
      <c r="G75" s="3"/>
      <c r="H75" s="3"/>
      <c r="I75" s="3"/>
      <c r="J75" s="3"/>
      <c r="K75" s="5"/>
      <c r="L75" s="5"/>
      <c r="M75" s="5"/>
      <c r="N75" s="5"/>
      <c r="O75" s="4" t="str">
        <f>[1]o!AE83</f>
        <v>pilört, vatten-</v>
      </c>
    </row>
    <row r="76" spans="1:15" s="4" customFormat="1" x14ac:dyDescent="0.25">
      <c r="A76" s="1"/>
      <c r="B76" s="3"/>
      <c r="C76" s="3"/>
      <c r="D76" s="3"/>
      <c r="E76" s="3"/>
      <c r="F76" s="3"/>
      <c r="G76" s="3"/>
      <c r="H76" s="3"/>
      <c r="I76" s="3"/>
      <c r="J76" s="3"/>
      <c r="K76" s="5"/>
      <c r="L76" s="5"/>
      <c r="M76" s="5"/>
      <c r="N76" s="5"/>
      <c r="O76" s="4" t="str">
        <f>[1]o!AE84</f>
        <v>pilört, åker-</v>
      </c>
    </row>
    <row r="77" spans="1:15" s="4" customFormat="1" x14ac:dyDescent="0.25">
      <c r="A77" s="1"/>
      <c r="B77" s="3"/>
      <c r="C77" s="3"/>
      <c r="D77" s="3"/>
      <c r="E77" s="3"/>
      <c r="F77" s="3"/>
      <c r="G77" s="3"/>
      <c r="H77" s="3"/>
      <c r="I77" s="3"/>
      <c r="J77" s="3"/>
      <c r="K77" s="5"/>
      <c r="L77" s="5"/>
      <c r="M77" s="5"/>
      <c r="N77" s="5"/>
      <c r="O77" s="4" t="str">
        <f>[1]o!AE85</f>
        <v>pipdån</v>
      </c>
    </row>
    <row r="78" spans="1:15" s="4" customFormat="1" x14ac:dyDescent="0.25">
      <c r="A78" s="1"/>
      <c r="B78" s="3"/>
      <c r="C78" s="3"/>
      <c r="D78" s="3"/>
      <c r="E78" s="3"/>
      <c r="F78" s="3"/>
      <c r="G78" s="3"/>
      <c r="H78" s="3"/>
      <c r="I78" s="3"/>
      <c r="J78" s="3"/>
      <c r="K78" s="5"/>
      <c r="L78" s="5"/>
      <c r="M78" s="5"/>
      <c r="N78" s="5"/>
      <c r="O78" s="4" t="str">
        <f>[1]o!AE86</f>
        <v>plister, flik-</v>
      </c>
    </row>
    <row r="79" spans="1:15" s="4" customFormat="1" x14ac:dyDescent="0.25">
      <c r="A79" s="1"/>
      <c r="B79" s="3"/>
      <c r="C79" s="3"/>
      <c r="D79" s="3"/>
      <c r="E79" s="3"/>
      <c r="F79" s="3"/>
      <c r="G79" s="3"/>
      <c r="H79" s="3"/>
      <c r="I79" s="3"/>
      <c r="J79" s="3"/>
      <c r="K79" s="5"/>
      <c r="L79" s="5"/>
      <c r="M79" s="5"/>
      <c r="N79" s="5"/>
      <c r="O79" s="4" t="str">
        <f>[1]o!AE87</f>
        <v>plister, mjuk-</v>
      </c>
    </row>
    <row r="80" spans="1:15" s="4" customFormat="1" x14ac:dyDescent="0.25">
      <c r="A80" s="1"/>
      <c r="B80" s="3"/>
      <c r="C80" s="3"/>
      <c r="D80" s="3"/>
      <c r="E80" s="3"/>
      <c r="F80" s="3"/>
      <c r="G80" s="3"/>
      <c r="H80" s="3"/>
      <c r="I80" s="3"/>
      <c r="J80" s="3"/>
      <c r="K80" s="5"/>
      <c r="L80" s="5"/>
      <c r="M80" s="5"/>
      <c r="N80" s="5"/>
      <c r="O80" s="4" t="str">
        <f>[1]o!AE88</f>
        <v>plister, röd-</v>
      </c>
    </row>
    <row r="81" spans="1:15" s="4" customFormat="1" x14ac:dyDescent="0.25">
      <c r="A81" s="1"/>
      <c r="B81" s="3"/>
      <c r="C81" s="3"/>
      <c r="D81" s="3"/>
      <c r="E81" s="3"/>
      <c r="F81" s="3"/>
      <c r="G81" s="3"/>
      <c r="H81" s="3"/>
      <c r="I81" s="3"/>
      <c r="J81" s="3"/>
      <c r="K81" s="5"/>
      <c r="L81" s="5"/>
      <c r="M81" s="5"/>
      <c r="N81" s="5"/>
      <c r="O81" s="4" t="str">
        <f>[1]o!AE89</f>
        <v>plister, vit-</v>
      </c>
    </row>
    <row r="82" spans="1:15" s="4" customFormat="1" x14ac:dyDescent="0.25">
      <c r="A82" s="1"/>
      <c r="B82" s="3"/>
      <c r="C82" s="3"/>
      <c r="D82" s="3"/>
      <c r="E82" s="3"/>
      <c r="F82" s="3"/>
      <c r="G82" s="3"/>
      <c r="H82" s="3"/>
      <c r="I82" s="3"/>
      <c r="J82" s="3"/>
      <c r="K82" s="5"/>
      <c r="L82" s="5"/>
      <c r="M82" s="5"/>
      <c r="N82" s="5"/>
      <c r="O82" s="4" t="str">
        <f>[1]o!AE90</f>
        <v>potatis</v>
      </c>
    </row>
    <row r="83" spans="1:15" s="4" customFormat="1" x14ac:dyDescent="0.25">
      <c r="A83" s="1"/>
      <c r="B83" s="3"/>
      <c r="C83" s="3"/>
      <c r="D83" s="3"/>
      <c r="E83" s="3"/>
      <c r="F83" s="3"/>
      <c r="G83" s="3"/>
      <c r="H83" s="3"/>
      <c r="I83" s="3"/>
      <c r="J83" s="3"/>
      <c r="K83" s="5"/>
      <c r="L83" s="5"/>
      <c r="M83" s="5"/>
      <c r="N83" s="5"/>
      <c r="O83" s="4" t="str">
        <f>[1]o!AE91</f>
        <v>rajgräs, engelskt-</v>
      </c>
    </row>
    <row r="84" spans="1:15" s="4" customFormat="1" x14ac:dyDescent="0.25">
      <c r="A84" s="1"/>
      <c r="B84" s="3"/>
      <c r="C84" s="3"/>
      <c r="D84" s="3"/>
      <c r="E84" s="3"/>
      <c r="F84" s="3"/>
      <c r="G84" s="3"/>
      <c r="H84" s="3"/>
      <c r="I84" s="3"/>
      <c r="J84" s="3"/>
      <c r="K84" s="5"/>
      <c r="L84" s="5"/>
      <c r="M84" s="5"/>
      <c r="N84" s="5"/>
      <c r="O84" s="4" t="str">
        <f>[1]o!AE92</f>
        <v>rajgräs, ital-</v>
      </c>
    </row>
    <row r="85" spans="1:15" s="4" customFormat="1" x14ac:dyDescent="0.25">
      <c r="A85" s="1"/>
      <c r="B85" s="3"/>
      <c r="C85" s="3"/>
      <c r="D85" s="3"/>
      <c r="E85" s="3"/>
      <c r="F85" s="3"/>
      <c r="G85" s="3"/>
      <c r="H85" s="3"/>
      <c r="I85" s="3"/>
      <c r="J85" s="3"/>
      <c r="K85" s="5"/>
      <c r="L85" s="5"/>
      <c r="M85" s="5"/>
      <c r="N85" s="5"/>
      <c r="O85" s="4" t="str">
        <f>[1]o!AE93</f>
        <v>raps, spill-</v>
      </c>
    </row>
    <row r="86" spans="1:15" s="4" customFormat="1" x14ac:dyDescent="0.25">
      <c r="A86" s="1"/>
      <c r="B86" s="3"/>
      <c r="C86" s="3"/>
      <c r="D86" s="3"/>
      <c r="E86" s="3"/>
      <c r="F86" s="3"/>
      <c r="G86" s="3"/>
      <c r="H86" s="3"/>
      <c r="I86" s="3"/>
      <c r="J86" s="3"/>
      <c r="K86" s="5"/>
      <c r="L86" s="5"/>
      <c r="M86" s="5"/>
      <c r="N86" s="5"/>
      <c r="O86" s="4" t="str">
        <f>[1]o!AE94</f>
        <v>renkavle</v>
      </c>
    </row>
    <row r="87" spans="1:15" s="4" customFormat="1" x14ac:dyDescent="0.25">
      <c r="A87" s="1"/>
      <c r="B87" s="3"/>
      <c r="C87" s="3"/>
      <c r="D87" s="3"/>
      <c r="E87" s="3"/>
      <c r="F87" s="3"/>
      <c r="G87" s="3"/>
      <c r="H87" s="3"/>
      <c r="I87" s="3"/>
      <c r="J87" s="3"/>
      <c r="K87" s="5"/>
      <c r="L87" s="5"/>
      <c r="M87" s="5"/>
      <c r="N87" s="5"/>
      <c r="O87" s="4" t="str">
        <f>[1]o!AE95</f>
        <v>revormstörel</v>
      </c>
    </row>
    <row r="88" spans="1:15" s="4" customFormat="1" x14ac:dyDescent="0.25">
      <c r="A88" s="1"/>
      <c r="B88" s="3"/>
      <c r="C88" s="3"/>
      <c r="D88" s="3"/>
      <c r="E88" s="3"/>
      <c r="F88" s="3"/>
      <c r="G88" s="3"/>
      <c r="H88" s="3"/>
      <c r="I88" s="3"/>
      <c r="J88" s="3"/>
      <c r="K88" s="5"/>
      <c r="L88" s="5"/>
      <c r="M88" s="5"/>
      <c r="N88" s="5"/>
      <c r="O88" s="4" t="str">
        <f>[1]o!AE96</f>
        <v>rågvallmo</v>
      </c>
    </row>
    <row r="89" spans="1:15" s="4" customFormat="1" x14ac:dyDescent="0.25">
      <c r="A89" s="1"/>
      <c r="B89" s="3"/>
      <c r="C89" s="3"/>
      <c r="D89" s="3"/>
      <c r="E89" s="3"/>
      <c r="F89" s="3"/>
      <c r="G89" s="3"/>
      <c r="H89" s="3"/>
      <c r="I89" s="3"/>
      <c r="J89" s="3"/>
      <c r="K89" s="5"/>
      <c r="L89" s="5"/>
      <c r="M89" s="5"/>
      <c r="N89" s="5"/>
      <c r="O89" s="4" t="str">
        <f>[1]o!AE97</f>
        <v>rättika, åker-</v>
      </c>
    </row>
    <row r="90" spans="1:15" s="4" customFormat="1" x14ac:dyDescent="0.25">
      <c r="A90" s="1"/>
      <c r="B90" s="3"/>
      <c r="C90" s="3"/>
      <c r="D90" s="3"/>
      <c r="E90" s="3"/>
      <c r="F90" s="3"/>
      <c r="G90" s="3"/>
      <c r="H90" s="3"/>
      <c r="I90" s="3"/>
      <c r="J90" s="3"/>
      <c r="K90" s="5"/>
      <c r="L90" s="5"/>
      <c r="M90" s="5"/>
      <c r="N90" s="5"/>
      <c r="O90" s="4" t="str">
        <f>[1]o!AE98</f>
        <v>rävtörel</v>
      </c>
    </row>
    <row r="91" spans="1:15" s="4" customFormat="1" x14ac:dyDescent="0.25">
      <c r="A91" s="1"/>
      <c r="B91" s="3"/>
      <c r="C91" s="3"/>
      <c r="D91" s="3"/>
      <c r="E91" s="3"/>
      <c r="F91" s="3"/>
      <c r="G91" s="3"/>
      <c r="H91" s="3"/>
      <c r="I91" s="3"/>
      <c r="J91" s="3"/>
      <c r="K91" s="5"/>
      <c r="L91" s="5"/>
      <c r="M91" s="5"/>
      <c r="N91" s="5"/>
      <c r="O91" s="4" t="str">
        <f>[1]o!AE99</f>
        <v>rödarv</v>
      </c>
    </row>
    <row r="92" spans="1:15" s="4" customFormat="1" x14ac:dyDescent="0.25">
      <c r="A92" s="1"/>
      <c r="B92" s="3"/>
      <c r="C92" s="3"/>
      <c r="D92" s="3"/>
      <c r="E92" s="3"/>
      <c r="F92" s="3"/>
      <c r="G92" s="3"/>
      <c r="H92" s="3"/>
      <c r="I92" s="3"/>
      <c r="J92" s="3"/>
      <c r="K92" s="5"/>
      <c r="L92" s="5"/>
      <c r="M92" s="5"/>
      <c r="N92" s="5"/>
      <c r="O92" s="4" t="str">
        <f>[1]o!AE100</f>
        <v>rödkämpar</v>
      </c>
    </row>
    <row r="93" spans="1:15" s="4" customFormat="1" x14ac:dyDescent="0.25">
      <c r="A93" s="1"/>
      <c r="B93" s="3"/>
      <c r="C93" s="3"/>
      <c r="D93" s="3"/>
      <c r="E93" s="3"/>
      <c r="F93" s="3"/>
      <c r="G93" s="3"/>
      <c r="H93" s="3"/>
      <c r="I93" s="3"/>
      <c r="J93" s="3"/>
      <c r="K93" s="5"/>
      <c r="L93" s="5"/>
      <c r="M93" s="5"/>
      <c r="N93" s="5"/>
      <c r="O93" s="4" t="str">
        <f>[1]o!AE101</f>
        <v>rödplister</v>
      </c>
    </row>
    <row r="94" spans="1:15" s="4" customFormat="1" x14ac:dyDescent="0.25">
      <c r="A94" s="1"/>
      <c r="B94" s="3"/>
      <c r="C94" s="3"/>
      <c r="D94" s="3"/>
      <c r="E94" s="3"/>
      <c r="F94" s="3"/>
      <c r="G94" s="3"/>
      <c r="H94" s="3"/>
      <c r="I94" s="3"/>
      <c r="J94" s="3"/>
      <c r="K94" s="5"/>
      <c r="L94" s="5"/>
      <c r="M94" s="5"/>
      <c r="N94" s="5"/>
      <c r="O94" s="4" t="str">
        <f>[1]o!AE102</f>
        <v>sandtrav</v>
      </c>
    </row>
    <row r="95" spans="1:15" s="4" customFormat="1" x14ac:dyDescent="0.25">
      <c r="A95" s="1"/>
      <c r="B95" s="3"/>
      <c r="C95" s="3"/>
      <c r="D95" s="3"/>
      <c r="E95" s="3"/>
      <c r="F95" s="3"/>
      <c r="G95" s="3"/>
      <c r="H95" s="3"/>
      <c r="I95" s="3"/>
      <c r="J95" s="3"/>
      <c r="K95" s="5"/>
      <c r="L95" s="5"/>
      <c r="M95" s="5"/>
      <c r="N95" s="5"/>
      <c r="O95" s="4" t="str">
        <f>[1]o!AE103</f>
        <v>senap, väg-</v>
      </c>
    </row>
    <row r="96" spans="1:15" s="4" customFormat="1" x14ac:dyDescent="0.25">
      <c r="A96" s="1"/>
      <c r="B96" s="3"/>
      <c r="C96" s="3"/>
      <c r="D96" s="3"/>
      <c r="E96" s="3"/>
      <c r="F96" s="3"/>
      <c r="G96" s="3"/>
      <c r="H96" s="3"/>
      <c r="I96" s="3"/>
      <c r="J96" s="3"/>
      <c r="K96" s="5"/>
      <c r="L96" s="5"/>
      <c r="M96" s="5"/>
      <c r="N96" s="5"/>
      <c r="O96" s="4" t="str">
        <f>[1]o!AE104</f>
        <v>senap, åker-</v>
      </c>
    </row>
    <row r="97" spans="1:20" s="4" customFormat="1" x14ac:dyDescent="0.25">
      <c r="A97" s="1"/>
      <c r="B97" s="3"/>
      <c r="C97" s="3"/>
      <c r="D97" s="3"/>
      <c r="E97" s="3"/>
      <c r="F97" s="3"/>
      <c r="G97" s="3"/>
      <c r="H97" s="3"/>
      <c r="I97" s="3"/>
      <c r="J97" s="3"/>
      <c r="K97" s="5"/>
      <c r="L97" s="5"/>
      <c r="M97" s="5"/>
      <c r="N97" s="5"/>
      <c r="O97" s="4" t="str">
        <f>[1]o!AE105</f>
        <v>skatnäva</v>
      </c>
    </row>
    <row r="98" spans="1:20" s="4" customFormat="1" x14ac:dyDescent="0.25">
      <c r="A98" s="1"/>
      <c r="B98" s="3"/>
      <c r="C98" s="3"/>
      <c r="D98" s="3"/>
      <c r="E98" s="3"/>
      <c r="F98" s="3"/>
      <c r="G98" s="3"/>
      <c r="H98" s="3"/>
      <c r="I98" s="3"/>
      <c r="J98" s="3"/>
      <c r="K98" s="5"/>
      <c r="L98" s="5"/>
      <c r="M98" s="5"/>
      <c r="N98" s="5"/>
      <c r="O98" s="4" t="str">
        <f>[1]o!AE106</f>
        <v>snärjmåra</v>
      </c>
    </row>
    <row r="99" spans="1:20" s="4" customFormat="1" x14ac:dyDescent="0.25">
      <c r="A99" s="1"/>
      <c r="B99" s="3"/>
      <c r="C99" s="3"/>
      <c r="D99" s="3"/>
      <c r="E99" s="3"/>
      <c r="F99" s="3"/>
      <c r="G99" s="3"/>
      <c r="H99" s="3"/>
      <c r="I99" s="3"/>
      <c r="J99" s="3"/>
      <c r="K99" s="5"/>
      <c r="L99" s="5"/>
      <c r="M99" s="5"/>
      <c r="N99" s="5"/>
      <c r="O99" s="4" t="str">
        <f>[1]o!AE107</f>
        <v>sommargyllen</v>
      </c>
    </row>
    <row r="100" spans="1:20" x14ac:dyDescent="0.25">
      <c r="K100" s="5"/>
      <c r="L100" s="5"/>
      <c r="M100" s="5"/>
      <c r="N100" s="5"/>
      <c r="O100" s="4" t="str">
        <f>[1]o!AE108</f>
        <v>sparvnäva</v>
      </c>
      <c r="P100" s="4"/>
      <c r="Q100" s="4"/>
      <c r="R100" s="4"/>
      <c r="S100" s="4"/>
      <c r="T100" s="4"/>
    </row>
    <row r="101" spans="1:20" x14ac:dyDescent="0.25">
      <c r="K101" s="5"/>
      <c r="L101" s="5"/>
      <c r="M101" s="5"/>
      <c r="N101" s="5"/>
      <c r="O101" s="4" t="str">
        <f>[1]o!AE109</f>
        <v>spillhavre</v>
      </c>
      <c r="P101" s="4"/>
      <c r="Q101" s="4"/>
      <c r="R101" s="4"/>
      <c r="S101" s="4"/>
    </row>
    <row r="102" spans="1:20" x14ac:dyDescent="0.25">
      <c r="K102" s="5"/>
      <c r="L102" s="5"/>
      <c r="M102" s="5"/>
      <c r="N102" s="5"/>
      <c r="O102" s="4" t="str">
        <f>[1]o!AE110</f>
        <v>spillkorn</v>
      </c>
      <c r="P102" s="4"/>
      <c r="Q102" s="4"/>
      <c r="R102" s="4"/>
    </row>
    <row r="103" spans="1:20" x14ac:dyDescent="0.25">
      <c r="K103" s="5"/>
      <c r="L103" s="5"/>
      <c r="M103" s="5"/>
      <c r="N103" s="5"/>
      <c r="O103" s="4" t="str">
        <f>[1]o!AE111</f>
        <v>spillraps</v>
      </c>
    </row>
    <row r="104" spans="1:20" x14ac:dyDescent="0.25">
      <c r="K104" s="5"/>
      <c r="L104" s="5"/>
      <c r="M104" s="5"/>
      <c r="N104" s="5"/>
      <c r="O104" s="4" t="str">
        <f>[1]o!AE112</f>
        <v>stinknäva</v>
      </c>
    </row>
    <row r="105" spans="1:20" x14ac:dyDescent="0.25">
      <c r="K105" s="5"/>
      <c r="L105" s="5"/>
      <c r="M105" s="5"/>
      <c r="N105" s="5"/>
      <c r="O105" s="4" t="str">
        <f>[1]o!AE113</f>
        <v>styvmorsviol</v>
      </c>
    </row>
    <row r="106" spans="1:20" x14ac:dyDescent="0.25">
      <c r="K106" s="5"/>
      <c r="L106" s="5"/>
      <c r="M106" s="5"/>
      <c r="N106" s="5"/>
      <c r="O106" s="4" t="str">
        <f>[1]o!AE114</f>
        <v>svartkämpar</v>
      </c>
    </row>
    <row r="107" spans="1:20" x14ac:dyDescent="0.25">
      <c r="K107" s="5"/>
      <c r="L107" s="5"/>
      <c r="M107" s="5"/>
      <c r="N107" s="5"/>
      <c r="O107" s="4" t="str">
        <f>[1]o!AE115</f>
        <v>svinmålla</v>
      </c>
    </row>
    <row r="108" spans="1:20" x14ac:dyDescent="0.25">
      <c r="K108" s="5"/>
      <c r="L108" s="5"/>
      <c r="M108" s="5"/>
      <c r="N108" s="5"/>
      <c r="O108" s="4" t="str">
        <f>[1]o!AE116</f>
        <v>syska, knöl-</v>
      </c>
    </row>
    <row r="109" spans="1:20" x14ac:dyDescent="0.25">
      <c r="K109" s="5"/>
      <c r="L109" s="5"/>
      <c r="M109" s="5"/>
      <c r="N109" s="5"/>
      <c r="O109" s="4" t="str">
        <f>[1]o!AE117</f>
        <v>tistel, väg-</v>
      </c>
    </row>
    <row r="110" spans="1:20" x14ac:dyDescent="0.25">
      <c r="K110" s="5"/>
      <c r="L110" s="5"/>
      <c r="M110" s="5"/>
      <c r="N110" s="5"/>
      <c r="O110" s="4" t="str">
        <f>[1]o!AE118</f>
        <v>tistel, åker-</v>
      </c>
    </row>
    <row r="111" spans="1:20" x14ac:dyDescent="0.25">
      <c r="K111" s="5"/>
      <c r="L111" s="5"/>
      <c r="M111" s="5"/>
      <c r="N111" s="5"/>
      <c r="O111" s="4" t="str">
        <f>[1]o!AE119</f>
        <v>toppdån</v>
      </c>
    </row>
    <row r="112" spans="1:20" x14ac:dyDescent="0.25">
      <c r="K112" s="5"/>
      <c r="L112" s="5"/>
      <c r="M112" s="5"/>
      <c r="N112" s="5"/>
      <c r="O112" s="4" t="str">
        <f>[1]o!AE120</f>
        <v>trampört</v>
      </c>
    </row>
    <row r="113" spans="11:15" x14ac:dyDescent="0.25">
      <c r="K113" s="5"/>
      <c r="L113" s="5"/>
      <c r="M113" s="5"/>
      <c r="N113" s="5"/>
      <c r="O113" s="4" t="str">
        <f>[1]o!AE121</f>
        <v>trav, sand-</v>
      </c>
    </row>
    <row r="114" spans="11:15" x14ac:dyDescent="0.25">
      <c r="K114" s="5"/>
      <c r="L114" s="5"/>
      <c r="M114" s="5"/>
      <c r="N114" s="5"/>
      <c r="O114" s="4" t="str">
        <f>[1]o!AE122</f>
        <v>tvåhjbl arter</v>
      </c>
    </row>
    <row r="115" spans="11:15" x14ac:dyDescent="0.25">
      <c r="K115" s="5"/>
      <c r="L115" s="5"/>
      <c r="M115" s="5"/>
      <c r="N115" s="5"/>
      <c r="O115" s="4" t="str">
        <f>[1]o!AE123</f>
        <v>törel, revorms-</v>
      </c>
    </row>
    <row r="116" spans="11:15" x14ac:dyDescent="0.25">
      <c r="K116" s="5"/>
      <c r="L116" s="5"/>
      <c r="M116" s="5"/>
      <c r="N116" s="5"/>
      <c r="O116" s="4" t="str">
        <f>[1]o!AE124</f>
        <v>törel, räv-</v>
      </c>
    </row>
    <row r="117" spans="11:15" x14ac:dyDescent="0.25">
      <c r="K117" s="5"/>
      <c r="L117" s="5"/>
      <c r="M117" s="5"/>
      <c r="N117" s="5"/>
      <c r="O117" s="4" t="str">
        <f>[1]o!AE125</f>
        <v>vallmo</v>
      </c>
    </row>
    <row r="118" spans="11:15" x14ac:dyDescent="0.25">
      <c r="K118" s="5"/>
      <c r="L118" s="5"/>
      <c r="M118" s="5"/>
      <c r="N118" s="5"/>
      <c r="O118" s="4" t="str">
        <f>[1]o!AE126</f>
        <v>vallmo, korn-</v>
      </c>
    </row>
    <row r="119" spans="11:15" x14ac:dyDescent="0.25">
      <c r="O119" s="4" t="str">
        <f>[1]o!AE127</f>
        <v>vallmo, råg-</v>
      </c>
    </row>
    <row r="120" spans="11:15" x14ac:dyDescent="0.25">
      <c r="O120" s="4" t="str">
        <f>[1]o!AE128</f>
        <v>vanlig kamomill</v>
      </c>
    </row>
    <row r="121" spans="11:15" x14ac:dyDescent="0.25">
      <c r="O121" s="4" t="str">
        <f>[1]o!AE129</f>
        <v>vanlig pilört</v>
      </c>
    </row>
    <row r="122" spans="11:15" x14ac:dyDescent="0.25">
      <c r="O122" s="4" t="str">
        <f>[1]o!AE130</f>
        <v>vattenpilört</v>
      </c>
    </row>
    <row r="123" spans="11:15" x14ac:dyDescent="0.25">
      <c r="O123" s="4" t="str">
        <f>[1]o!AE131</f>
        <v>ven, åker-</v>
      </c>
    </row>
    <row r="124" spans="11:15" x14ac:dyDescent="0.25">
      <c r="O124" s="4" t="str">
        <f>[1]o!AE132</f>
        <v>veronika</v>
      </c>
    </row>
    <row r="125" spans="11:15" x14ac:dyDescent="0.25">
      <c r="O125" s="4" t="str">
        <f>[1]o!AE133</f>
        <v>veronika, fält-</v>
      </c>
    </row>
    <row r="126" spans="11:15" x14ac:dyDescent="0.25">
      <c r="O126" s="4" t="str">
        <f>[1]o!AE134</f>
        <v>veronika, maj-</v>
      </c>
    </row>
    <row r="127" spans="11:15" x14ac:dyDescent="0.25">
      <c r="O127" s="4" t="str">
        <f>[1]o!AE135</f>
        <v>veronika, murgröns-</v>
      </c>
    </row>
    <row r="128" spans="11:15" x14ac:dyDescent="0.25">
      <c r="O128" s="4" t="str">
        <f>[1]o!AE136</f>
        <v>veronika, åker-</v>
      </c>
    </row>
    <row r="129" spans="15:15" x14ac:dyDescent="0.25">
      <c r="O129" s="4" t="str">
        <f>[1]o!AE137</f>
        <v>vete, spill-</v>
      </c>
    </row>
    <row r="130" spans="15:15" x14ac:dyDescent="0.25">
      <c r="O130" s="4" t="str">
        <f>[1]o!AE138</f>
        <v>viol, styvmors-</v>
      </c>
    </row>
    <row r="131" spans="15:15" x14ac:dyDescent="0.25">
      <c r="O131" s="4" t="str">
        <f>[1]o!AE139</f>
        <v>viol, åker-</v>
      </c>
    </row>
    <row r="132" spans="15:15" x14ac:dyDescent="0.25">
      <c r="O132" s="4" t="str">
        <f>[1]o!AE140</f>
        <v>vitgröe</v>
      </c>
    </row>
    <row r="133" spans="15:15" x14ac:dyDescent="0.25">
      <c r="O133" s="4" t="str">
        <f>[1]o!AE141</f>
        <v>vitplister</v>
      </c>
    </row>
    <row r="134" spans="15:15" x14ac:dyDescent="0.25">
      <c r="O134" s="4" t="str">
        <f>[1]o!AE142</f>
        <v>våtarv</v>
      </c>
    </row>
    <row r="135" spans="15:15" x14ac:dyDescent="0.25">
      <c r="O135" s="4" t="str">
        <f>[1]o!AE143</f>
        <v>vägmålla</v>
      </c>
    </row>
    <row r="136" spans="15:15" x14ac:dyDescent="0.25">
      <c r="O136" s="4" t="str">
        <f>[1]o!AE144</f>
        <v>vägsenap</v>
      </c>
    </row>
    <row r="137" spans="15:15" x14ac:dyDescent="0.25">
      <c r="O137" s="4" t="str">
        <f>[1]o!AE145</f>
        <v>vägtistel</v>
      </c>
    </row>
    <row r="138" spans="15:15" x14ac:dyDescent="0.25">
      <c r="O138" s="4" t="str">
        <f>[1]o!AE146</f>
        <v>åkerbinda</v>
      </c>
    </row>
    <row r="139" spans="15:15" x14ac:dyDescent="0.25">
      <c r="O139" s="4" t="str">
        <f>[1]o!AE147</f>
        <v>åkerfräken</v>
      </c>
    </row>
    <row r="140" spans="15:15" x14ac:dyDescent="0.25">
      <c r="O140" s="4" t="str">
        <f>[1]o!AE148</f>
        <v>åkerförgätmigej</v>
      </c>
    </row>
    <row r="141" spans="15:15" x14ac:dyDescent="0.25">
      <c r="O141" s="4" t="str">
        <f>[1]o!AE149</f>
        <v>åkergyllen</v>
      </c>
    </row>
    <row r="142" spans="15:15" x14ac:dyDescent="0.25">
      <c r="O142" s="4" t="str">
        <f>[1]o!AE150</f>
        <v>åkerkål</v>
      </c>
    </row>
    <row r="143" spans="15:15" x14ac:dyDescent="0.25">
      <c r="O143" s="4" t="str">
        <f>[1]o!AE151</f>
        <v>åkermolke</v>
      </c>
    </row>
    <row r="144" spans="15:15" x14ac:dyDescent="0.25">
      <c r="O144" s="4" t="str">
        <f>[1]o!AE152</f>
        <v>åkerpilört</v>
      </c>
    </row>
    <row r="145" spans="15:15" x14ac:dyDescent="0.25">
      <c r="O145" s="4" t="str">
        <f>[1]o!AE153</f>
        <v>åkerrättika</v>
      </c>
    </row>
    <row r="146" spans="15:15" x14ac:dyDescent="0.25">
      <c r="O146" s="4" t="str">
        <f>[1]o!AE154</f>
        <v>åkersenap</v>
      </c>
    </row>
    <row r="147" spans="15:15" x14ac:dyDescent="0.25">
      <c r="O147" s="4" t="str">
        <f>[1]o!AE155</f>
        <v>åkertistel</v>
      </c>
    </row>
    <row r="148" spans="15:15" x14ac:dyDescent="0.25">
      <c r="O148" s="4" t="str">
        <f>[1]o!AE156</f>
        <v>åkerven</v>
      </c>
    </row>
    <row r="149" spans="15:15" x14ac:dyDescent="0.25">
      <c r="O149" s="4" t="str">
        <f>[1]o!AE157</f>
        <v>åkerveronika</v>
      </c>
    </row>
    <row r="150" spans="15:15" x14ac:dyDescent="0.25">
      <c r="O150" s="4" t="str">
        <f>[1]o!AE158</f>
        <v>åkervinda</v>
      </c>
    </row>
    <row r="151" spans="15:15" x14ac:dyDescent="0.25">
      <c r="O151" s="4" t="str">
        <f>[1]o!AE159</f>
        <v>åkerviol</v>
      </c>
    </row>
    <row r="152" spans="15:15" x14ac:dyDescent="0.25">
      <c r="O152" s="4"/>
    </row>
    <row r="153" spans="15:15" x14ac:dyDescent="0.25">
      <c r="O153" s="4"/>
    </row>
    <row r="154" spans="15:15" x14ac:dyDescent="0.25">
      <c r="O154" s="4"/>
    </row>
    <row r="155" spans="15:15" x14ac:dyDescent="0.25">
      <c r="O155" s="4"/>
    </row>
    <row r="156" spans="15:15" x14ac:dyDescent="0.25">
      <c r="O156" s="4"/>
    </row>
    <row r="157" spans="15:15" x14ac:dyDescent="0.25">
      <c r="O157" s="4"/>
    </row>
    <row r="158" spans="15:15" x14ac:dyDescent="0.25">
      <c r="O158" s="4"/>
    </row>
    <row r="159" spans="15:15" x14ac:dyDescent="0.25">
      <c r="O159" s="4"/>
    </row>
    <row r="160" spans="15:15" x14ac:dyDescent="0.25">
      <c r="O160" s="4"/>
    </row>
  </sheetData>
  <mergeCells count="6">
    <mergeCell ref="G1:J1"/>
    <mergeCell ref="B14:J15"/>
    <mergeCell ref="C56:D56"/>
    <mergeCell ref="B57:B58"/>
    <mergeCell ref="C57:D58"/>
    <mergeCell ref="F57:J58"/>
  </mergeCells>
  <conditionalFormatting sqref="B57:D58">
    <cfRule type="notContainsBlanks" dxfId="107" priority="36">
      <formula>LEN(TRIM(B57))&gt;0</formula>
    </cfRule>
  </conditionalFormatting>
  <conditionalFormatting sqref="B16:J20">
    <cfRule type="expression" dxfId="106" priority="32">
      <formula>IF($A$20=1,1,0)</formula>
    </cfRule>
  </conditionalFormatting>
  <conditionalFormatting sqref="B21:J25">
    <cfRule type="expression" dxfId="105" priority="28">
      <formula>IF($A$25=1,1,0)</formula>
    </cfRule>
  </conditionalFormatting>
  <conditionalFormatting sqref="B26:J30">
    <cfRule type="expression" dxfId="104" priority="24">
      <formula>IF($A$30=1,1,0)</formula>
    </cfRule>
  </conditionalFormatting>
  <conditionalFormatting sqref="B31:J35">
    <cfRule type="expression" dxfId="103" priority="20">
      <formula>IF($A$35=1,1,0)</formula>
    </cfRule>
  </conditionalFormatting>
  <conditionalFormatting sqref="B36:J40">
    <cfRule type="expression" dxfId="102" priority="16">
      <formula>IF($A$40=1,1,0)</formula>
    </cfRule>
  </conditionalFormatting>
  <conditionalFormatting sqref="B41:J45">
    <cfRule type="expression" dxfId="101" priority="12">
      <formula>IF($A$45=1,1,0)</formula>
    </cfRule>
  </conditionalFormatting>
  <conditionalFormatting sqref="B46:J50">
    <cfRule type="expression" dxfId="100" priority="8">
      <formula>IF($A$50=1,1,0)</formula>
    </cfRule>
  </conditionalFormatting>
  <conditionalFormatting sqref="B51:J55">
    <cfRule type="expression" dxfId="99" priority="4">
      <formula>IF($A$55=1,1,0)</formula>
    </cfRule>
  </conditionalFormatting>
  <conditionalFormatting sqref="D16 C18:D20">
    <cfRule type="expression" dxfId="98" priority="35">
      <formula>IF(AND($A$16=1,$A$17=1),1,0)</formula>
    </cfRule>
  </conditionalFormatting>
  <conditionalFormatting sqref="D21 C23:D25">
    <cfRule type="expression" dxfId="97" priority="31">
      <formula>IF(AND($A$21=1,$A$22=1),1,0)</formula>
    </cfRule>
  </conditionalFormatting>
  <conditionalFormatting sqref="D26 C28:D30">
    <cfRule type="expression" dxfId="96" priority="27">
      <formula>IF(AND($A$26=1,$A$27=1),1,0)</formula>
    </cfRule>
  </conditionalFormatting>
  <conditionalFormatting sqref="D31 C33:D35">
    <cfRule type="expression" dxfId="95" priority="23">
      <formula>IF(AND($A$31=1,$A$32=1),1,0)</formula>
    </cfRule>
  </conditionalFormatting>
  <conditionalFormatting sqref="D36 C38:D40">
    <cfRule type="expression" dxfId="94" priority="19">
      <formula>IF(AND($A$36=1,$A$37=1),1,0)</formula>
    </cfRule>
  </conditionalFormatting>
  <conditionalFormatting sqref="D41 C43:D45">
    <cfRule type="expression" dxfId="93" priority="15">
      <formula>IF(AND($A$41=1,$A$42=1),1,0)</formula>
    </cfRule>
  </conditionalFormatting>
  <conditionalFormatting sqref="D46 C48:D50">
    <cfRule type="expression" dxfId="92" priority="11">
      <formula>IF(AND($A$46=1,$A$47=1),1,0)</formula>
    </cfRule>
  </conditionalFormatting>
  <conditionalFormatting sqref="D51 C53:D55">
    <cfRule type="expression" dxfId="91" priority="7">
      <formula>IF(AND($A$51=1,$A$52=1),1,0)</formula>
    </cfRule>
  </conditionalFormatting>
  <conditionalFormatting sqref="F17:I20">
    <cfRule type="expression" dxfId="90" priority="33">
      <formula>IF(AND($A$16=1,$A$19=1),1,0)</formula>
    </cfRule>
  </conditionalFormatting>
  <conditionalFormatting sqref="F22:I25">
    <cfRule type="expression" dxfId="89" priority="29">
      <formula>IF(AND($A$21=1,$A$24=1),1,0)</formula>
    </cfRule>
  </conditionalFormatting>
  <conditionalFormatting sqref="F27:I30">
    <cfRule type="expression" dxfId="88" priority="25">
      <formula>IF(AND($A$26=1,$A$29=1),1,0)</formula>
    </cfRule>
  </conditionalFormatting>
  <conditionalFormatting sqref="F32:I35">
    <cfRule type="expression" dxfId="87" priority="21">
      <formula>IF(AND($A$31=1,$A$34=1),1,0)</formula>
    </cfRule>
  </conditionalFormatting>
  <conditionalFormatting sqref="F37:I40">
    <cfRule type="expression" dxfId="86" priority="17">
      <formula>IF(AND($A$36=1,$A$39=1),1,0)</formula>
    </cfRule>
  </conditionalFormatting>
  <conditionalFormatting sqref="F42:I45">
    <cfRule type="expression" dxfId="85" priority="13">
      <formula>IF(AND($A$41=1,$A$44=1),1,0)</formula>
    </cfRule>
  </conditionalFormatting>
  <conditionalFormatting sqref="F47:I50">
    <cfRule type="expression" dxfId="84" priority="9">
      <formula>IF(AND($A$46=1,$A$49=1),1,0)</formula>
    </cfRule>
  </conditionalFormatting>
  <conditionalFormatting sqref="F52:I55">
    <cfRule type="expression" dxfId="83" priority="5">
      <formula>IF(AND($A$51=1,$A$54=1),1,0)</formula>
    </cfRule>
  </conditionalFormatting>
  <conditionalFormatting sqref="G1:J1">
    <cfRule type="expression" dxfId="82" priority="2">
      <formula>IF(A1=1000,1,0)</formula>
    </cfRule>
    <cfRule type="expression" dxfId="81" priority="3">
      <formula>IF(A1=0,1,0)</formula>
    </cfRule>
    <cfRule type="containsBlanks" dxfId="80" priority="1" stopIfTrue="1">
      <formula>LEN(TRIM(G1))=0</formula>
    </cfRule>
  </conditionalFormatting>
  <conditionalFormatting sqref="J17:J20">
    <cfRule type="expression" dxfId="79" priority="34">
      <formula>IF(AND($A$16=1,$A$18=1),1,0)</formula>
    </cfRule>
  </conditionalFormatting>
  <conditionalFormatting sqref="J22:J25">
    <cfRule type="expression" dxfId="78" priority="30">
      <formula>IF(AND($A$21=1,$A$23=1),1,0)</formula>
    </cfRule>
  </conditionalFormatting>
  <conditionalFormatting sqref="J27:J30">
    <cfRule type="expression" dxfId="77" priority="26">
      <formula>IF(AND($A$26=1,$A$28=1),1,0)</formula>
    </cfRule>
  </conditionalFormatting>
  <conditionalFormatting sqref="J32:J35">
    <cfRule type="expression" dxfId="76" priority="22">
      <formula>IF(AND($A$31=1,$A$33=1),1,0)</formula>
    </cfRule>
  </conditionalFormatting>
  <conditionalFormatting sqref="J37:J40">
    <cfRule type="expression" dxfId="75" priority="18">
      <formula>IF(AND($A$36=1,$A$38=1),1,0)</formula>
    </cfRule>
  </conditionalFormatting>
  <conditionalFormatting sqref="J42:J45">
    <cfRule type="expression" dxfId="74" priority="14">
      <formula>IF(AND($A$41=1,$A$43=1),1,0)</formula>
    </cfRule>
  </conditionalFormatting>
  <conditionalFormatting sqref="J47:J50">
    <cfRule type="expression" dxfId="73" priority="10">
      <formula>IF(AND($A$46=1,$A$48=1),1,0)</formula>
    </cfRule>
  </conditionalFormatting>
  <conditionalFormatting sqref="J52:J55">
    <cfRule type="expression" dxfId="72" priority="6">
      <formula>IF(AND($A$51=1,$A$53=1),1,0)</formula>
    </cfRule>
  </conditionalFormatting>
  <dataValidations count="1">
    <dataValidation type="list" allowBlank="1" showInputMessage="1" showErrorMessage="1" sqref="B17 B22 B27 B32 B37 B42 B47 B52">
      <formula1>$O$2:$O$151</formula1>
    </dataValidation>
  </dataValidations>
  <pageMargins left="0.55118110236220474" right="0.19685039370078741" top="0.39370078740157483" bottom="0.15748031496062992" header="0.19685039370078741" footer="0.27559055118110237"/>
  <pageSetup paperSize="9" orientation="portrait" verticalDpi="1200" r:id="rId1"/>
  <headerFooter alignWithMargins="0">
    <oddHeader>&amp;L&amp;F  Flik 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CA160"/>
  <sheetViews>
    <sheetView topLeftCell="B1" zoomScale="130" zoomScaleNormal="130" workbookViewId="0">
      <selection activeCell="B1" sqref="B1"/>
    </sheetView>
  </sheetViews>
  <sheetFormatPr defaultColWidth="9.140625" defaultRowHeight="16.5" x14ac:dyDescent="0.25"/>
  <cols>
    <col min="1" max="1" width="10.28515625" style="1" hidden="1" customWidth="1"/>
    <col min="2" max="2" width="15.42578125" style="3" customWidth="1"/>
    <col min="3" max="3" width="12" style="3" customWidth="1"/>
    <col min="4" max="4" width="10.28515625" style="3" customWidth="1"/>
    <col min="5" max="5" width="9.140625" style="3"/>
    <col min="6" max="6" width="13.140625" style="3" customWidth="1"/>
    <col min="7" max="7" width="8.42578125" style="3" customWidth="1"/>
    <col min="8" max="9" width="9.28515625" style="3" customWidth="1"/>
    <col min="10" max="10" width="9" style="3" customWidth="1"/>
    <col min="11" max="14" width="7.7109375" style="2" hidden="1" customWidth="1"/>
    <col min="15" max="15" width="17.42578125" style="1" customWidth="1"/>
    <col min="16" max="16" width="5.7109375" style="1" customWidth="1"/>
    <col min="17" max="17" width="10.7109375" style="1" customWidth="1"/>
    <col min="18" max="18" width="14.85546875" style="1" customWidth="1"/>
    <col min="19" max="19" width="9.140625" style="1"/>
    <col min="20" max="20" width="13" style="1" customWidth="1"/>
    <col min="21" max="21" width="2.28515625" style="1" customWidth="1"/>
    <col min="22" max="22" width="0" style="1" hidden="1" customWidth="1"/>
    <col min="23" max="23" width="28.7109375" style="1" customWidth="1"/>
    <col min="24" max="16384" width="9.140625" style="1"/>
  </cols>
  <sheetData>
    <row r="1" spans="1:79" ht="18.75" customHeight="1" x14ac:dyDescent="0.25">
      <c r="A1" s="1">
        <f>SUM(A2:A9)+A58</f>
        <v>1000</v>
      </c>
      <c r="B1" s="61" t="str">
        <f ca="1">"Räkning av ogräs vid behandlingstillfälle "&amp;RIGHT(J2,1)</f>
        <v>Räkning av ogräs vid behandlingstillfälle 2</v>
      </c>
      <c r="C1" s="50"/>
      <c r="D1" s="50"/>
      <c r="E1" s="50"/>
      <c r="F1" s="50"/>
      <c r="G1" s="186" t="str">
        <f>IF(SUM(F17:J20)=0,"",IF(A1=0,"ALLT KLART",IF(L7=1,M7,IF(AND(SUM(A2:A9)=0,A1=1000),"Signera också!",""))))</f>
        <v/>
      </c>
      <c r="H1" s="186"/>
      <c r="I1" s="186"/>
      <c r="J1" s="187"/>
      <c r="Q1" s="60" t="s">
        <v>20</v>
      </c>
      <c r="R1" s="59"/>
      <c r="W1" s="58" t="s">
        <v>201</v>
      </c>
    </row>
    <row r="2" spans="1:79" ht="12.75" customHeight="1" x14ac:dyDescent="0.25">
      <c r="A2" s="1">
        <f>IF(OR(SUM(A16:A20)=5,N17=29),0,1)</f>
        <v>0</v>
      </c>
      <c r="B2" s="57"/>
      <c r="J2" s="56" t="str">
        <f ca="1">MID(CELL("filename",A1),FIND("]",CELL("filename",A1))+1,255)</f>
        <v>Ogräsräkning 2</v>
      </c>
      <c r="K2" s="5"/>
      <c r="L2" s="5">
        <f>COUNT(F17,F22,F27,F32,F37,F42,F47,F52)</f>
        <v>0</v>
      </c>
      <c r="M2" s="5"/>
      <c r="N2" s="5"/>
      <c r="O2" s="48">
        <f>W3</f>
        <v>0</v>
      </c>
      <c r="Q2" s="55" t="s">
        <v>202</v>
      </c>
      <c r="R2" s="54"/>
      <c r="S2" s="53" t="s">
        <v>203</v>
      </c>
      <c r="T2" s="52"/>
      <c r="W2" s="1" t="s">
        <v>204</v>
      </c>
    </row>
    <row r="3" spans="1:79" s="4" customFormat="1" ht="12.75" customHeight="1" x14ac:dyDescent="0.25">
      <c r="A3" s="1">
        <f>IF(OR(SUM(A21:A25)=5,N22=29),0,1)</f>
        <v>0</v>
      </c>
      <c r="B3" s="51" t="s">
        <v>205</v>
      </c>
      <c r="C3" s="50"/>
      <c r="D3" s="50"/>
      <c r="E3" s="50"/>
      <c r="F3" s="50"/>
      <c r="G3" s="50"/>
      <c r="H3" s="50"/>
      <c r="I3" s="50"/>
      <c r="J3" s="49"/>
      <c r="K3" s="5"/>
      <c r="L3" s="47">
        <f>SUM(A16,A21,A26,A31,A36,A41,A46,A51)</f>
        <v>0</v>
      </c>
      <c r="M3" s="5" t="str">
        <f>IF(L3&lt;L$2,"Åtminstone ogräsnamn ","")</f>
        <v/>
      </c>
      <c r="N3" s="5"/>
      <c r="O3" s="48">
        <f>W4</f>
        <v>0</v>
      </c>
      <c r="Q3" s="41" t="s">
        <v>58</v>
      </c>
      <c r="R3" s="37" t="s">
        <v>59</v>
      </c>
      <c r="S3" s="41" t="s">
        <v>58</v>
      </c>
      <c r="T3" s="37" t="s">
        <v>60</v>
      </c>
      <c r="W3" s="48"/>
    </row>
    <row r="4" spans="1:79" ht="12.75" customHeight="1" x14ac:dyDescent="0.25">
      <c r="A4" s="1">
        <f>IF(OR(SUM(A26:A30)=5,N27=29),0,1)</f>
        <v>0</v>
      </c>
      <c r="B4" s="44" t="s">
        <v>206</v>
      </c>
      <c r="J4" s="43"/>
      <c r="K4" s="5"/>
      <c r="L4" s="47">
        <f>SUM(A17,A22,A27,A32,A37,A42,A47,A52)</f>
        <v>0</v>
      </c>
      <c r="M4" s="5" t="str">
        <f>IF(AND(L4&lt;L$3,L4&lt;L$2),"utv.st/storlek ","")</f>
        <v/>
      </c>
      <c r="N4" s="5"/>
      <c r="O4" s="4" t="str">
        <f>[1]o!AE11</f>
        <v>annuella gräs</v>
      </c>
      <c r="Q4" s="38">
        <v>10</v>
      </c>
      <c r="R4" s="37" t="s">
        <v>65</v>
      </c>
      <c r="S4" s="38">
        <v>10</v>
      </c>
      <c r="T4" s="37" t="s">
        <v>66</v>
      </c>
      <c r="W4" s="48"/>
    </row>
    <row r="5" spans="1:79" ht="12.75" customHeight="1" x14ac:dyDescent="0.25">
      <c r="A5" s="1">
        <f>IF(OR(SUM(A31:A35)=5,N32=29),0,1)</f>
        <v>0</v>
      </c>
      <c r="B5" s="44" t="s">
        <v>207</v>
      </c>
      <c r="J5" s="43"/>
      <c r="K5" s="5"/>
      <c r="L5" s="47">
        <f>SUM(A18,A23,A28,A33,A38,A43,A48,A53)</f>
        <v>0</v>
      </c>
      <c r="M5" s="5" t="str">
        <f>IF(AND(L5&lt;L$3,L5&lt;L$2),"täckning ","")</f>
        <v/>
      </c>
      <c r="N5" s="5"/>
      <c r="O5" s="4" t="str">
        <f>[1]o!AE12</f>
        <v>arv, röd-</v>
      </c>
      <c r="Q5" s="38">
        <v>11</v>
      </c>
      <c r="R5" s="37" t="s">
        <v>72</v>
      </c>
      <c r="S5" s="38">
        <v>11</v>
      </c>
      <c r="T5" s="37" t="s">
        <v>73</v>
      </c>
    </row>
    <row r="6" spans="1:79" ht="12.75" customHeight="1" x14ac:dyDescent="0.25">
      <c r="A6" s="1">
        <f>IF(OR(SUM(A36:A40)=5,N37=29),0,1)</f>
        <v>0</v>
      </c>
      <c r="B6" s="44" t="s">
        <v>208</v>
      </c>
      <c r="J6" s="43"/>
      <c r="K6" s="5"/>
      <c r="L6" s="47">
        <f>SUM(A19,A24,A29,A34,A39,A44,A49,A54)</f>
        <v>0</v>
      </c>
      <c r="M6" s="5" t="str">
        <f>IF(AND(L6&lt;L$3,L6&lt;L$2),"räkning ","")</f>
        <v/>
      </c>
      <c r="N6" s="5"/>
      <c r="O6" s="4" t="str">
        <f>[1]o!AE13</f>
        <v>arv, våt-</v>
      </c>
      <c r="Q6" s="38">
        <v>12</v>
      </c>
      <c r="R6" s="37" t="s">
        <v>78</v>
      </c>
      <c r="S6" s="38">
        <v>12</v>
      </c>
      <c r="T6" s="37" t="s">
        <v>79</v>
      </c>
      <c r="BS6" s="4"/>
      <c r="BT6" s="4"/>
      <c r="BU6" s="4"/>
      <c r="BV6" s="4"/>
      <c r="BW6" s="4"/>
      <c r="BX6" s="4"/>
      <c r="BY6" s="4"/>
      <c r="BZ6" s="4"/>
      <c r="CA6" s="4"/>
    </row>
    <row r="7" spans="1:79" s="16" customFormat="1" ht="13.5" customHeight="1" x14ac:dyDescent="0.25">
      <c r="A7" s="1">
        <f>IF(OR(SUM(A41:A45)=5,N42=29),0,1)</f>
        <v>0</v>
      </c>
      <c r="B7" s="44" t="s">
        <v>209</v>
      </c>
      <c r="C7" s="3"/>
      <c r="D7" s="3"/>
      <c r="E7" s="3"/>
      <c r="F7" s="3"/>
      <c r="G7" s="3"/>
      <c r="H7" s="3"/>
      <c r="I7" s="3"/>
      <c r="J7" s="43"/>
      <c r="K7" s="5"/>
      <c r="L7" s="46">
        <f>IF(AND(L3=L2,L4=L2,L5=L2,L6=L2),0,1)</f>
        <v>0</v>
      </c>
      <c r="M7" s="5" t="str">
        <f>IF(L7=0,"",M3&amp;M4&amp;M5&amp;M6&amp;" saknas")</f>
        <v/>
      </c>
      <c r="N7" s="5"/>
      <c r="O7" s="4" t="str">
        <f>[1]o!AE14</f>
        <v>baldersbrå</v>
      </c>
      <c r="P7" s="1"/>
      <c r="Q7" s="38">
        <v>20</v>
      </c>
      <c r="R7" s="37" t="s">
        <v>85</v>
      </c>
      <c r="S7" s="38"/>
      <c r="T7" s="37" t="s">
        <v>86</v>
      </c>
    </row>
    <row r="8" spans="1:79" s="16" customFormat="1" ht="13.5" customHeight="1" x14ac:dyDescent="0.25">
      <c r="A8" s="1">
        <f>IF(OR(SUM(A46:A50)=5,N47=29),0,1)</f>
        <v>0</v>
      </c>
      <c r="B8" s="44" t="s">
        <v>210</v>
      </c>
      <c r="C8" s="3"/>
      <c r="D8" s="3"/>
      <c r="E8" s="3"/>
      <c r="F8" s="3"/>
      <c r="G8" s="3"/>
      <c r="H8" s="3"/>
      <c r="I8" s="3"/>
      <c r="J8" s="43"/>
      <c r="K8" s="5"/>
      <c r="L8" s="5"/>
      <c r="M8" s="5"/>
      <c r="N8" s="5"/>
      <c r="O8" s="4" t="str">
        <f>[1]o!AE15</f>
        <v>bitterpilört</v>
      </c>
      <c r="P8" s="1"/>
      <c r="Q8" s="38">
        <v>21</v>
      </c>
      <c r="R8" s="37" t="s">
        <v>92</v>
      </c>
      <c r="S8" s="38">
        <v>30</v>
      </c>
      <c r="T8" s="37" t="s">
        <v>93</v>
      </c>
    </row>
    <row r="9" spans="1:79" s="16" customFormat="1" ht="13.5" customHeight="1" x14ac:dyDescent="0.25">
      <c r="A9" s="1">
        <f>IF(OR(SUM(A51:A55)=5,N52=29),0,1)</f>
        <v>0</v>
      </c>
      <c r="B9" s="45" t="s">
        <v>211</v>
      </c>
      <c r="C9" s="3"/>
      <c r="D9" s="3"/>
      <c r="E9" s="3"/>
      <c r="F9" s="3"/>
      <c r="G9" s="3"/>
      <c r="H9" s="3"/>
      <c r="I9" s="3"/>
      <c r="J9" s="43"/>
      <c r="K9" s="5"/>
      <c r="L9" s="5"/>
      <c r="M9" s="5"/>
      <c r="N9" s="5"/>
      <c r="O9" s="4" t="str">
        <f>[1]o!AE16</f>
        <v>blåklint</v>
      </c>
      <c r="P9" s="1"/>
      <c r="Q9" s="38">
        <v>22</v>
      </c>
      <c r="R9" s="37" t="s">
        <v>97</v>
      </c>
      <c r="S9" s="38">
        <v>31</v>
      </c>
      <c r="T9" s="37" t="s">
        <v>98</v>
      </c>
    </row>
    <row r="10" spans="1:79" s="16" customFormat="1" ht="13.5" customHeight="1" x14ac:dyDescent="0.25">
      <c r="A10" s="1"/>
      <c r="B10" s="45" t="s">
        <v>212</v>
      </c>
      <c r="C10" s="3"/>
      <c r="D10" s="3"/>
      <c r="E10" s="3"/>
      <c r="F10" s="3"/>
      <c r="G10" s="3"/>
      <c r="H10" s="3"/>
      <c r="I10" s="3"/>
      <c r="J10" s="43"/>
      <c r="K10" s="5"/>
      <c r="L10" s="5"/>
      <c r="M10" s="5"/>
      <c r="N10" s="5"/>
      <c r="O10" s="4" t="str">
        <f>[1]o!AE17</f>
        <v>brännässla</v>
      </c>
      <c r="Q10" s="38">
        <v>30</v>
      </c>
      <c r="R10" s="37" t="s">
        <v>105</v>
      </c>
      <c r="S10" s="38">
        <v>32</v>
      </c>
      <c r="T10" s="37" t="s">
        <v>106</v>
      </c>
    </row>
    <row r="11" spans="1:79" s="4" customFormat="1" ht="13.5" customHeight="1" x14ac:dyDescent="0.25">
      <c r="B11" s="45" t="s">
        <v>213</v>
      </c>
      <c r="D11" s="3"/>
      <c r="E11" s="3"/>
      <c r="F11" s="3"/>
      <c r="G11" s="3"/>
      <c r="H11" s="3"/>
      <c r="I11" s="3"/>
      <c r="J11" s="43"/>
      <c r="K11" s="5"/>
      <c r="L11" s="5"/>
      <c r="M11" s="5"/>
      <c r="N11" s="5"/>
      <c r="O11" s="4" t="str">
        <f>[1]o!AE18</f>
        <v>dån</v>
      </c>
      <c r="Q11" s="38">
        <v>31</v>
      </c>
      <c r="R11" s="37" t="s">
        <v>110</v>
      </c>
      <c r="S11" s="38"/>
      <c r="T11" s="37" t="s">
        <v>86</v>
      </c>
    </row>
    <row r="12" spans="1:79" s="16" customFormat="1" ht="13.5" customHeight="1" x14ac:dyDescent="0.25">
      <c r="B12" s="45" t="s">
        <v>214</v>
      </c>
      <c r="C12" s="3"/>
      <c r="D12" s="3"/>
      <c r="E12" s="3"/>
      <c r="F12" s="3"/>
      <c r="G12" s="3"/>
      <c r="H12" s="3"/>
      <c r="I12" s="3"/>
      <c r="J12" s="43"/>
      <c r="K12" s="5"/>
      <c r="L12" s="5"/>
      <c r="M12" s="5"/>
      <c r="N12" s="5"/>
      <c r="O12" s="4" t="str">
        <f>[1]o!AE19</f>
        <v>dån, hamp-</v>
      </c>
      <c r="Q12" s="38">
        <v>32</v>
      </c>
      <c r="R12" s="37" t="s">
        <v>115</v>
      </c>
      <c r="S12" s="38">
        <v>50</v>
      </c>
      <c r="T12" s="37" t="s">
        <v>116</v>
      </c>
    </row>
    <row r="13" spans="1:79" s="16" customFormat="1" ht="13.5" customHeight="1" x14ac:dyDescent="0.25">
      <c r="B13" s="44" t="s">
        <v>215</v>
      </c>
      <c r="C13" s="3"/>
      <c r="D13" s="3"/>
      <c r="E13" s="3"/>
      <c r="F13" s="3"/>
      <c r="G13" s="3"/>
      <c r="H13" s="3"/>
      <c r="I13" s="3"/>
      <c r="J13" s="43"/>
      <c r="K13" s="5"/>
      <c r="L13" s="5"/>
      <c r="M13" s="5"/>
      <c r="N13" s="5"/>
      <c r="O13" s="4" t="str">
        <f>[1]o!AE20</f>
        <v>dån, mjuk-</v>
      </c>
      <c r="Q13" s="38">
        <v>37</v>
      </c>
      <c r="R13" s="37" t="s">
        <v>122</v>
      </c>
      <c r="S13" s="38"/>
      <c r="T13" s="37" t="s">
        <v>123</v>
      </c>
    </row>
    <row r="14" spans="1:79" s="16" customFormat="1" ht="13.5" customHeight="1" x14ac:dyDescent="0.2">
      <c r="B14" s="188" t="s">
        <v>216</v>
      </c>
      <c r="C14" s="189"/>
      <c r="D14" s="189"/>
      <c r="E14" s="189"/>
      <c r="F14" s="189"/>
      <c r="G14" s="189"/>
      <c r="H14" s="189"/>
      <c r="I14" s="189"/>
      <c r="J14" s="190"/>
      <c r="K14" s="5"/>
      <c r="L14" s="5"/>
      <c r="M14" s="5"/>
      <c r="N14" s="5"/>
      <c r="O14" s="4" t="str">
        <f>[1]o!AE21</f>
        <v>dån, pip-</v>
      </c>
      <c r="Q14" s="42">
        <v>39</v>
      </c>
      <c r="R14" s="39" t="s">
        <v>129</v>
      </c>
      <c r="S14" s="38">
        <v>51</v>
      </c>
      <c r="T14" s="37" t="s">
        <v>130</v>
      </c>
    </row>
    <row r="15" spans="1:79" s="16" customFormat="1" ht="13.5" customHeight="1" x14ac:dyDescent="0.2">
      <c r="A15" s="4"/>
      <c r="B15" s="191"/>
      <c r="C15" s="192"/>
      <c r="D15" s="192"/>
      <c r="E15" s="192"/>
      <c r="F15" s="192"/>
      <c r="G15" s="192"/>
      <c r="H15" s="192"/>
      <c r="I15" s="192"/>
      <c r="J15" s="193"/>
      <c r="K15" s="5"/>
      <c r="L15" s="5"/>
      <c r="M15" s="5"/>
      <c r="N15" s="5"/>
      <c r="O15" s="4" t="str">
        <f>[1]o!AE22</f>
        <v>dån, topp-</v>
      </c>
      <c r="Q15" s="38">
        <v>41</v>
      </c>
      <c r="R15" s="37" t="s">
        <v>134</v>
      </c>
      <c r="S15" s="41"/>
      <c r="T15" s="37" t="s">
        <v>135</v>
      </c>
    </row>
    <row r="16" spans="1:79" s="16" customFormat="1" ht="13.5" customHeight="1" x14ac:dyDescent="0.2">
      <c r="A16" s="4">
        <f>IF(B17=0,0,1)</f>
        <v>0</v>
      </c>
      <c r="B16" s="27" t="s">
        <v>217</v>
      </c>
      <c r="C16" s="26" t="s">
        <v>218</v>
      </c>
      <c r="D16" s="25"/>
      <c r="E16" s="24"/>
      <c r="F16" s="23" t="s">
        <v>219</v>
      </c>
      <c r="G16" s="23" t="s">
        <v>219</v>
      </c>
      <c r="H16" s="23" t="s">
        <v>219</v>
      </c>
      <c r="I16" s="23" t="s">
        <v>219</v>
      </c>
      <c r="J16" s="22" t="s">
        <v>220</v>
      </c>
      <c r="K16" s="11"/>
      <c r="L16" s="11"/>
      <c r="M16" s="11"/>
      <c r="N16" s="11"/>
      <c r="O16" s="4" t="str">
        <f>[1]o!AE23</f>
        <v>engelskt rajgräs</v>
      </c>
      <c r="Q16" s="38">
        <v>45</v>
      </c>
      <c r="R16" s="37" t="s">
        <v>138</v>
      </c>
      <c r="S16" s="38">
        <v>55</v>
      </c>
      <c r="T16" s="37" t="s">
        <v>139</v>
      </c>
    </row>
    <row r="17" spans="1:20" s="16" customFormat="1" ht="13.5" customHeight="1" x14ac:dyDescent="0.2">
      <c r="A17" s="4">
        <f>IF(AND(COUNTBLANK(C18:D20)=0,D16&gt;0),1,0)*A16</f>
        <v>0</v>
      </c>
      <c r="B17" s="21"/>
      <c r="C17" s="20" t="s">
        <v>221</v>
      </c>
      <c r="D17" s="20" t="s">
        <v>222</v>
      </c>
      <c r="E17" s="18" t="s">
        <v>223</v>
      </c>
      <c r="F17" s="17"/>
      <c r="G17" s="17"/>
      <c r="H17" s="17"/>
      <c r="I17" s="17"/>
      <c r="J17" s="17"/>
      <c r="K17" s="12">
        <f>IF(COUNTBLANK(F17:I17)=3,F17*4,IF(COUNTBLANK(F17:I17)=2,(F17+G17)*2,IF(COUNTBLANK(F17:I17)=1,SUM(F17:H17)/0.75,SUM(F17:I17))))</f>
        <v>0</v>
      </c>
      <c r="L17" s="11">
        <f>IF(K17&gt;=40,1,IF(K17&gt;=20,2,4))</f>
        <v>4</v>
      </c>
      <c r="M17" s="11">
        <f>4-COUNTBLANK(F17:I17)</f>
        <v>0</v>
      </c>
      <c r="N17" s="11">
        <f>COUNTBLANK(C16:J20)+COUNTBLANK(B17)</f>
        <v>29</v>
      </c>
      <c r="O17" s="4" t="str">
        <f>[1]o!AE24</f>
        <v>etternässla</v>
      </c>
      <c r="Q17" s="38">
        <v>49</v>
      </c>
      <c r="R17" s="37" t="s">
        <v>142</v>
      </c>
      <c r="S17" s="38"/>
      <c r="T17" s="37" t="s">
        <v>143</v>
      </c>
    </row>
    <row r="18" spans="1:20" s="16" customFormat="1" ht="13.5" customHeight="1" x14ac:dyDescent="0.2">
      <c r="A18" s="4">
        <f>IF(COUNTBLANK(J17:J20)=0,1,0)*A16</f>
        <v>0</v>
      </c>
      <c r="B18" s="19" t="s">
        <v>224</v>
      </c>
      <c r="C18" s="17"/>
      <c r="D18" s="17"/>
      <c r="E18" s="18" t="s">
        <v>225</v>
      </c>
      <c r="F18" s="17"/>
      <c r="G18" s="17"/>
      <c r="H18" s="17"/>
      <c r="I18" s="17"/>
      <c r="J18" s="17"/>
      <c r="K18" s="12">
        <f>IF(COUNTBLANK(F18:I18)=3,F18*4,IF(COUNTBLANK(F18:I18)=2,(F18+G18)*2,IF(COUNTBLANK(F18:I18)=1,SUM(F18:H18)/0.75,SUM(F18:I18))))</f>
        <v>0</v>
      </c>
      <c r="L18" s="11">
        <f>IF(K18&gt;=40,1,IF(K18&gt;=20,2,4))</f>
        <v>4</v>
      </c>
      <c r="M18" s="11">
        <f>4-COUNTBLANK(F18:I18)</f>
        <v>0</v>
      </c>
      <c r="N18" s="11"/>
      <c r="O18" s="4" t="str">
        <f>[1]o!AE25</f>
        <v>fliknäva</v>
      </c>
      <c r="Q18" s="38">
        <v>51</v>
      </c>
      <c r="R18" s="37" t="s">
        <v>150</v>
      </c>
      <c r="S18" s="38">
        <v>59</v>
      </c>
      <c r="T18" s="37" t="s">
        <v>151</v>
      </c>
    </row>
    <row r="19" spans="1:20" s="4" customFormat="1" ht="13.5" customHeight="1" x14ac:dyDescent="0.2">
      <c r="A19" s="4">
        <f>IF(SUM(L17:L20)-SUM(M17:M20)&lt;=0,1,0)*A16</f>
        <v>0</v>
      </c>
      <c r="B19" s="19" t="s">
        <v>226</v>
      </c>
      <c r="C19" s="17"/>
      <c r="D19" s="17"/>
      <c r="E19" s="18" t="s">
        <v>227</v>
      </c>
      <c r="F19" s="17"/>
      <c r="G19" s="17"/>
      <c r="H19" s="17"/>
      <c r="I19" s="17"/>
      <c r="J19" s="17"/>
      <c r="K19" s="12">
        <f>IF(COUNTBLANK(F19:I19)=3,F19*4,IF(COUNTBLANK(F19:I19)=2,(F19+G19)*2,IF(COUNTBLANK(F19:I19)=1,SUM(F19:H19)/0.75,SUM(F19:I19))))</f>
        <v>0</v>
      </c>
      <c r="L19" s="11">
        <f>IF(K19&gt;=40,1,IF(K19&gt;=20,2,4))</f>
        <v>4</v>
      </c>
      <c r="M19" s="11">
        <f>4-COUNTBLANK(F19:I19)</f>
        <v>0</v>
      </c>
      <c r="N19" s="11"/>
      <c r="O19" s="4" t="str">
        <f>[1]o!AE26</f>
        <v>flikpilister</v>
      </c>
      <c r="Q19" s="38">
        <v>55</v>
      </c>
      <c r="R19" s="37" t="s">
        <v>154</v>
      </c>
      <c r="S19" s="38">
        <v>61</v>
      </c>
      <c r="T19" s="37" t="s">
        <v>155</v>
      </c>
    </row>
    <row r="20" spans="1:20" s="16" customFormat="1" ht="13.5" customHeight="1" thickBot="1" x14ac:dyDescent="0.25">
      <c r="A20" s="4">
        <f>A16*A17*A18*A19</f>
        <v>0</v>
      </c>
      <c r="B20" s="15" t="s">
        <v>228</v>
      </c>
      <c r="C20" s="13"/>
      <c r="D20" s="13"/>
      <c r="E20" s="14" t="s">
        <v>229</v>
      </c>
      <c r="F20" s="13"/>
      <c r="G20" s="13"/>
      <c r="H20" s="13"/>
      <c r="I20" s="13"/>
      <c r="J20" s="13"/>
      <c r="K20" s="12">
        <f>IF(COUNTBLANK(F20:I20)=3,F20*4,IF(COUNTBLANK(F20:I20)=2,(F20+G20)*2,IF(COUNTBLANK(F20:I20)=1,SUM(F20:H20)/0.75,SUM(F20:I20))))</f>
        <v>0</v>
      </c>
      <c r="L20" s="11">
        <f>IF(K20&gt;=40,1,IF(K20&gt;=20,2,4))</f>
        <v>4</v>
      </c>
      <c r="M20" s="11">
        <f>4-COUNTBLANK(F20:I20)</f>
        <v>0</v>
      </c>
      <c r="N20" s="11"/>
      <c r="O20" s="4" t="str">
        <f>[1]o!AE27</f>
        <v>flyghavre</v>
      </c>
      <c r="Q20" s="38">
        <v>59</v>
      </c>
      <c r="R20" s="37" t="s">
        <v>158</v>
      </c>
      <c r="S20" s="38">
        <v>65</v>
      </c>
      <c r="T20" s="37" t="s">
        <v>159</v>
      </c>
    </row>
    <row r="21" spans="1:20" s="16" customFormat="1" ht="13.5" customHeight="1" x14ac:dyDescent="0.2">
      <c r="A21" s="4">
        <f>IF(B22=0,0,1)</f>
        <v>0</v>
      </c>
      <c r="B21" s="27" t="s">
        <v>230</v>
      </c>
      <c r="C21" s="26" t="s">
        <v>218</v>
      </c>
      <c r="D21" s="25"/>
      <c r="E21" s="24"/>
      <c r="F21" s="23" t="s">
        <v>219</v>
      </c>
      <c r="G21" s="23" t="s">
        <v>219</v>
      </c>
      <c r="H21" s="23" t="s">
        <v>219</v>
      </c>
      <c r="I21" s="23" t="s">
        <v>219</v>
      </c>
      <c r="J21" s="22" t="s">
        <v>220</v>
      </c>
      <c r="K21" s="12"/>
      <c r="L21" s="11"/>
      <c r="M21" s="11"/>
      <c r="N21" s="11"/>
      <c r="O21" s="4" t="str">
        <f>[1]o!AE28</f>
        <v>fräken, åker-</v>
      </c>
      <c r="Q21" s="38">
        <v>61</v>
      </c>
      <c r="R21" s="37" t="s">
        <v>162</v>
      </c>
      <c r="S21" s="38">
        <v>69</v>
      </c>
      <c r="T21" s="37" t="s">
        <v>163</v>
      </c>
    </row>
    <row r="22" spans="1:20" s="16" customFormat="1" ht="13.5" customHeight="1" x14ac:dyDescent="0.2">
      <c r="A22" s="4">
        <f>IF(AND(COUNTBLANK(C23:D25)=0,D21&gt;0),1,0)*A21</f>
        <v>0</v>
      </c>
      <c r="B22" s="21"/>
      <c r="C22" s="20" t="s">
        <v>221</v>
      </c>
      <c r="D22" s="20" t="s">
        <v>222</v>
      </c>
      <c r="E22" s="18" t="s">
        <v>223</v>
      </c>
      <c r="F22" s="17"/>
      <c r="G22" s="17"/>
      <c r="H22" s="17"/>
      <c r="I22" s="17"/>
      <c r="J22" s="17"/>
      <c r="K22" s="12">
        <f>IF(COUNTBLANK(F22:I22)=3,F22*4,IF(COUNTBLANK(F22:I22)=2,(F22+G22)*2,IF(COUNTBLANK(F22:I22)=1,SUM(F22:H22)/0.75,SUM(F22:I22))))</f>
        <v>0</v>
      </c>
      <c r="L22" s="11">
        <f>IF(K22&gt;=40,1,IF(K22&gt;=20,2,4))</f>
        <v>4</v>
      </c>
      <c r="M22" s="11">
        <f>4-COUNTBLANK(F22:I22)</f>
        <v>0</v>
      </c>
      <c r="N22" s="11">
        <f>COUNTBLANK(C21:J25)+COUNTBLANK(B22)</f>
        <v>29</v>
      </c>
      <c r="O22" s="4" t="str">
        <f>[1]o!AE29</f>
        <v>fältveronika</v>
      </c>
      <c r="Q22" s="40">
        <v>65</v>
      </c>
      <c r="R22" s="39" t="s">
        <v>166</v>
      </c>
      <c r="S22" s="38">
        <v>70</v>
      </c>
      <c r="T22" s="37" t="s">
        <v>167</v>
      </c>
    </row>
    <row r="23" spans="1:20" s="16" customFormat="1" ht="13.5" customHeight="1" x14ac:dyDescent="0.2">
      <c r="A23" s="4">
        <f>IF(COUNTBLANK(J22:J25)=0,1,0)*A21</f>
        <v>0</v>
      </c>
      <c r="B23" s="19" t="s">
        <v>224</v>
      </c>
      <c r="C23" s="17"/>
      <c r="D23" s="17"/>
      <c r="E23" s="18" t="s">
        <v>225</v>
      </c>
      <c r="F23" s="17"/>
      <c r="G23" s="17"/>
      <c r="H23" s="17"/>
      <c r="I23" s="17"/>
      <c r="J23" s="17"/>
      <c r="K23" s="12">
        <f>IF(COUNTBLANK(F23:I23)=3,F23*4,IF(COUNTBLANK(F23:I23)=2,(F23+G23)*2,IF(COUNTBLANK(F23:I23)=1,SUM(F23:H23)/0.75,SUM(F23:I23))))</f>
        <v>0</v>
      </c>
      <c r="L23" s="11">
        <f>IF(K23&gt;=40,1,IF(K23&gt;=20,2,4))</f>
        <v>4</v>
      </c>
      <c r="M23" s="11">
        <f>4-COUNTBLANK(F23:I23)</f>
        <v>0</v>
      </c>
      <c r="N23" s="11"/>
      <c r="O23" s="4" t="str">
        <f>[1]o!AE30</f>
        <v>förgätmigej</v>
      </c>
      <c r="Q23" s="38">
        <v>69</v>
      </c>
      <c r="R23" s="37" t="s">
        <v>163</v>
      </c>
      <c r="S23" s="38">
        <v>71</v>
      </c>
      <c r="T23" s="37" t="s">
        <v>170</v>
      </c>
    </row>
    <row r="24" spans="1:20" s="16" customFormat="1" ht="13.5" customHeight="1" x14ac:dyDescent="0.2">
      <c r="A24" s="4">
        <f>IF(SUM(L22:L25)-SUM(M22:M25)&lt;=0,1,0)*A21</f>
        <v>0</v>
      </c>
      <c r="B24" s="19" t="s">
        <v>226</v>
      </c>
      <c r="C24" s="17"/>
      <c r="D24" s="17"/>
      <c r="E24" s="18" t="s">
        <v>227</v>
      </c>
      <c r="F24" s="17"/>
      <c r="G24" s="17"/>
      <c r="H24" s="17"/>
      <c r="I24" s="17"/>
      <c r="J24" s="17"/>
      <c r="K24" s="12">
        <f>IF(COUNTBLANK(F24:I24)=3,F24*4,IF(COUNTBLANK(F24:I24)=2,(F24+G24)*2,IF(COUNTBLANK(F24:I24)=1,SUM(F24:H24)/0.75,SUM(F24:I24))))</f>
        <v>0</v>
      </c>
      <c r="L24" s="11">
        <f>IF(K24&gt;=40,1,IF(K24&gt;=20,2,4))</f>
        <v>4</v>
      </c>
      <c r="M24" s="11">
        <f>4-COUNTBLANK(F24:I24)</f>
        <v>0</v>
      </c>
      <c r="N24" s="11"/>
      <c r="O24" s="4" t="str">
        <f>[1]o!AE31</f>
        <v>förgätmigej, åker-</v>
      </c>
      <c r="Q24" s="38">
        <v>73</v>
      </c>
      <c r="R24" s="37" t="s">
        <v>173</v>
      </c>
      <c r="S24" s="38" t="s">
        <v>174</v>
      </c>
      <c r="T24" s="37" t="s">
        <v>175</v>
      </c>
    </row>
    <row r="25" spans="1:20" s="16" customFormat="1" ht="13.5" customHeight="1" thickBot="1" x14ac:dyDescent="0.25">
      <c r="A25" s="4">
        <f>A21*A22*A23*A24</f>
        <v>0</v>
      </c>
      <c r="B25" s="15" t="s">
        <v>228</v>
      </c>
      <c r="C25" s="13"/>
      <c r="D25" s="13"/>
      <c r="E25" s="14" t="s">
        <v>229</v>
      </c>
      <c r="F25" s="13"/>
      <c r="G25" s="13"/>
      <c r="H25" s="13"/>
      <c r="I25" s="13"/>
      <c r="J25" s="13"/>
      <c r="K25" s="12">
        <f>IF(COUNTBLANK(F25:I25)=3,F25*4,IF(COUNTBLANK(F25:I25)=2,(F25+G25)*2,IF(COUNTBLANK(F25:I25)=1,SUM(F25:H25)/0.75,SUM(F25:I25))))</f>
        <v>0</v>
      </c>
      <c r="L25" s="11">
        <f>IF(K25&gt;=40,1,IF(K25&gt;=20,2,4))</f>
        <v>4</v>
      </c>
      <c r="M25" s="11">
        <f>4-COUNTBLANK(F25:I25)</f>
        <v>0</v>
      </c>
      <c r="N25" s="11"/>
      <c r="O25" s="4" t="str">
        <f>[1]o!AE32</f>
        <v>gatkamomill</v>
      </c>
      <c r="Q25" s="38">
        <v>75</v>
      </c>
      <c r="R25" s="37" t="s">
        <v>180</v>
      </c>
      <c r="T25" s="36"/>
    </row>
    <row r="26" spans="1:20" s="16" customFormat="1" ht="13.5" customHeight="1" x14ac:dyDescent="0.2">
      <c r="A26" s="4">
        <f>IF(B27=0,0,1)</f>
        <v>0</v>
      </c>
      <c r="B26" s="27" t="s">
        <v>231</v>
      </c>
      <c r="C26" s="26" t="s">
        <v>218</v>
      </c>
      <c r="D26" s="25"/>
      <c r="E26" s="24"/>
      <c r="F26" s="23" t="s">
        <v>219</v>
      </c>
      <c r="G26" s="23" t="s">
        <v>219</v>
      </c>
      <c r="H26" s="23" t="s">
        <v>219</v>
      </c>
      <c r="I26" s="23" t="s">
        <v>219</v>
      </c>
      <c r="J26" s="22" t="s">
        <v>220</v>
      </c>
      <c r="K26" s="31"/>
      <c r="L26" s="30"/>
      <c r="M26" s="30"/>
      <c r="N26" s="30"/>
      <c r="O26" s="4" t="str">
        <f>[1]o!AE33</f>
        <v>groblad</v>
      </c>
      <c r="Q26" s="38">
        <v>77</v>
      </c>
      <c r="R26" s="37" t="s">
        <v>183</v>
      </c>
      <c r="T26" s="36"/>
    </row>
    <row r="27" spans="1:20" s="16" customFormat="1" ht="13.5" customHeight="1" x14ac:dyDescent="0.2">
      <c r="A27" s="4">
        <f>IF(AND(COUNTBLANK(C28:D30)=0,D26&gt;0),1,0)*A26</f>
        <v>0</v>
      </c>
      <c r="B27" s="21"/>
      <c r="C27" s="20" t="s">
        <v>221</v>
      </c>
      <c r="D27" s="20" t="s">
        <v>222</v>
      </c>
      <c r="E27" s="18" t="s">
        <v>223</v>
      </c>
      <c r="F27" s="17"/>
      <c r="G27" s="17"/>
      <c r="H27" s="17"/>
      <c r="I27" s="17"/>
      <c r="J27" s="17"/>
      <c r="K27" s="12">
        <f>IF(COUNTBLANK(F27:I27)=3,F27*4,IF(COUNTBLANK(F27:I27)=2,(F27+G27)*2,IF(COUNTBLANK(F27:I27)=1,SUM(F27:H27)/0.75,SUM(F27:I27))))</f>
        <v>0</v>
      </c>
      <c r="L27" s="11">
        <f>IF(K27&gt;=40,1,IF(K27&gt;=20,2,4))</f>
        <v>4</v>
      </c>
      <c r="M27" s="11">
        <f>4-COUNTBLANK(F27:I27)</f>
        <v>0</v>
      </c>
      <c r="N27" s="11">
        <f>COUNTBLANK(C26:J30)+COUNTBLANK(B27)</f>
        <v>29</v>
      </c>
      <c r="O27" s="4" t="str">
        <f>[1]o!AE34</f>
        <v>gräs, annuell</v>
      </c>
      <c r="Q27" s="38">
        <v>83</v>
      </c>
      <c r="R27" s="37" t="s">
        <v>185</v>
      </c>
      <c r="T27" s="36"/>
    </row>
    <row r="28" spans="1:20" s="16" customFormat="1" ht="13.5" customHeight="1" x14ac:dyDescent="0.2">
      <c r="A28" s="4">
        <f>IF(COUNTBLANK(J27:J30)=0,1,0)*A26</f>
        <v>0</v>
      </c>
      <c r="B28" s="19" t="s">
        <v>224</v>
      </c>
      <c r="C28" s="17"/>
      <c r="D28" s="17"/>
      <c r="E28" s="18" t="s">
        <v>225</v>
      </c>
      <c r="F28" s="17"/>
      <c r="G28" s="17"/>
      <c r="H28" s="17"/>
      <c r="I28" s="17"/>
      <c r="J28" s="17"/>
      <c r="K28" s="12">
        <f>IF(COUNTBLANK(F28:I28)=3,F28*4,IF(COUNTBLANK(F28:I28)=2,(F28+G28)*2,IF(COUNTBLANK(F28:I28)=1,SUM(F28:H28)/0.75,SUM(F28:I28))))</f>
        <v>0</v>
      </c>
      <c r="L28" s="11">
        <f>IF(K28&gt;=40,1,IF(K28&gt;=20,2,4))</f>
        <v>4</v>
      </c>
      <c r="M28" s="11">
        <f>4-COUNTBLANK(F28:I28)</f>
        <v>0</v>
      </c>
      <c r="N28" s="11"/>
      <c r="O28" s="4" t="str">
        <f>[1]o!AE35</f>
        <v>gröe, vit-</v>
      </c>
      <c r="Q28" s="38">
        <v>85</v>
      </c>
      <c r="R28" s="37" t="s">
        <v>188</v>
      </c>
      <c r="T28" s="36"/>
    </row>
    <row r="29" spans="1:20" s="16" customFormat="1" ht="13.5" customHeight="1" x14ac:dyDescent="0.2">
      <c r="A29" s="4">
        <f>IF(SUM(L27:L30)-SUM(M27:M30)&lt;=0,1,0)*A26</f>
        <v>0</v>
      </c>
      <c r="B29" s="19" t="s">
        <v>226</v>
      </c>
      <c r="C29" s="17"/>
      <c r="D29" s="17"/>
      <c r="E29" s="18" t="s">
        <v>227</v>
      </c>
      <c r="F29" s="17"/>
      <c r="G29" s="17"/>
      <c r="H29" s="17"/>
      <c r="I29" s="17"/>
      <c r="J29" s="17"/>
      <c r="K29" s="12">
        <f>IF(COUNTBLANK(F29:I29)=3,F29*4,IF(COUNTBLANK(F29:I29)=2,(F29+G29)*2,IF(COUNTBLANK(F29:I29)=1,SUM(F29:H29)/0.75,SUM(F29:I29))))</f>
        <v>0</v>
      </c>
      <c r="L29" s="11">
        <f>IF(K29&gt;=40,1,IF(K29&gt;=20,2,4))</f>
        <v>4</v>
      </c>
      <c r="M29" s="11">
        <f>4-COUNTBLANK(F29:I29)</f>
        <v>0</v>
      </c>
      <c r="N29" s="11"/>
      <c r="O29" s="4" t="str">
        <f>[1]o!AE36</f>
        <v>gulmåra</v>
      </c>
      <c r="Q29" s="35">
        <v>87</v>
      </c>
      <c r="R29" s="34" t="s">
        <v>191</v>
      </c>
      <c r="S29" s="33"/>
      <c r="T29" s="32"/>
    </row>
    <row r="30" spans="1:20" s="16" customFormat="1" ht="13.5" customHeight="1" thickBot="1" x14ac:dyDescent="0.25">
      <c r="A30" s="4">
        <f>A26*A27*A28*A29</f>
        <v>0</v>
      </c>
      <c r="B30" s="15" t="s">
        <v>228</v>
      </c>
      <c r="C30" s="13"/>
      <c r="D30" s="13"/>
      <c r="E30" s="14" t="s">
        <v>229</v>
      </c>
      <c r="F30" s="13"/>
      <c r="G30" s="13"/>
      <c r="H30" s="13"/>
      <c r="I30" s="13"/>
      <c r="J30" s="13"/>
      <c r="K30" s="12">
        <f>IF(COUNTBLANK(F30:I30)=3,F30*4,IF(COUNTBLANK(F30:I30)=2,(F30+G30)*2,IF(COUNTBLANK(F30:I30)=1,SUM(F30:H30)/0.75,SUM(F30:I30))))</f>
        <v>0</v>
      </c>
      <c r="L30" s="11">
        <f>IF(K30&gt;=40,1,IF(K30&gt;=20,2,4))</f>
        <v>4</v>
      </c>
      <c r="M30" s="11">
        <f>4-COUNTBLANK(F30:I30)</f>
        <v>0</v>
      </c>
      <c r="N30" s="11"/>
      <c r="O30" s="4" t="str">
        <f>[1]o!AE37</f>
        <v>gyllen, sommar-</v>
      </c>
    </row>
    <row r="31" spans="1:20" s="16" customFormat="1" ht="13.5" customHeight="1" x14ac:dyDescent="0.2">
      <c r="A31" s="4">
        <f>IF(B32=0,0,1)</f>
        <v>0</v>
      </c>
      <c r="B31" s="27" t="s">
        <v>232</v>
      </c>
      <c r="C31" s="26" t="s">
        <v>218</v>
      </c>
      <c r="D31" s="25"/>
      <c r="E31" s="24"/>
      <c r="F31" s="23" t="s">
        <v>219</v>
      </c>
      <c r="G31" s="23" t="s">
        <v>219</v>
      </c>
      <c r="H31" s="23" t="s">
        <v>219</v>
      </c>
      <c r="I31" s="23" t="s">
        <v>219</v>
      </c>
      <c r="J31" s="22" t="s">
        <v>220</v>
      </c>
      <c r="K31" s="31"/>
      <c r="L31" s="30"/>
      <c r="M31" s="30"/>
      <c r="N31" s="30"/>
      <c r="O31" s="4" t="str">
        <f>[1]o!AE38</f>
        <v>gyllen, åker-</v>
      </c>
    </row>
    <row r="32" spans="1:20" s="16" customFormat="1" ht="13.5" customHeight="1" x14ac:dyDescent="0.2">
      <c r="A32" s="4">
        <f>IF(AND(COUNTBLANK(C33:D35)=0,D31&gt;0),1,0)*A31</f>
        <v>0</v>
      </c>
      <c r="B32" s="21"/>
      <c r="C32" s="20" t="s">
        <v>221</v>
      </c>
      <c r="D32" s="20" t="s">
        <v>222</v>
      </c>
      <c r="E32" s="18" t="s">
        <v>223</v>
      </c>
      <c r="F32" s="17"/>
      <c r="G32" s="17"/>
      <c r="H32" s="17"/>
      <c r="I32" s="17"/>
      <c r="J32" s="17"/>
      <c r="K32" s="12">
        <f>IF(COUNTBLANK(F32:I32)=3,F32*4,IF(COUNTBLANK(F32:I32)=2,(F32+G32)*2,IF(COUNTBLANK(F32:I32)=1,SUM(F32:H32)/0.75,SUM(F32:I32))))</f>
        <v>0</v>
      </c>
      <c r="L32" s="11">
        <f>IF(K32&gt;=40,1,IF(K32&gt;=20,2,4))</f>
        <v>4</v>
      </c>
      <c r="M32" s="11">
        <f>4-COUNTBLANK(F32:I32)</f>
        <v>0</v>
      </c>
      <c r="N32" s="11">
        <f>COUNTBLANK(C31:J35)+COUNTBLANK(B32)</f>
        <v>29</v>
      </c>
      <c r="O32" s="4" t="str">
        <f>[1]o!AE39</f>
        <v>hampdån</v>
      </c>
    </row>
    <row r="33" spans="1:20" s="16" customFormat="1" ht="13.5" customHeight="1" x14ac:dyDescent="0.2">
      <c r="A33" s="4">
        <f>IF(COUNTBLANK(J32:J35)=0,1,0)*A31</f>
        <v>0</v>
      </c>
      <c r="B33" s="19" t="s">
        <v>224</v>
      </c>
      <c r="C33" s="17"/>
      <c r="D33" s="17"/>
      <c r="E33" s="18" t="s">
        <v>225</v>
      </c>
      <c r="F33" s="17"/>
      <c r="G33" s="17"/>
      <c r="H33" s="17"/>
      <c r="I33" s="17"/>
      <c r="J33" s="17"/>
      <c r="K33" s="12">
        <f>IF(COUNTBLANK(F33:I33)=3,F33*4,IF(COUNTBLANK(F33:I33)=2,(F33+G33)*2,IF(COUNTBLANK(F33:I33)=1,SUM(F33:H33)/0.75,SUM(F33:I33))))</f>
        <v>0</v>
      </c>
      <c r="L33" s="11">
        <f>IF(K33&gt;=40,1,IF(K33&gt;=20,2,4))</f>
        <v>4</v>
      </c>
      <c r="M33" s="11">
        <f>4-COUNTBLANK(F33:I33)</f>
        <v>0</v>
      </c>
      <c r="N33" s="11"/>
      <c r="O33" s="4" t="str">
        <f>[1]o!AE40</f>
        <v>harkål</v>
      </c>
    </row>
    <row r="34" spans="1:20" s="16" customFormat="1" ht="13.5" customHeight="1" x14ac:dyDescent="0.2">
      <c r="A34" s="4">
        <f>IF(SUM(L32:L35)-SUM(M32:M35)&lt;=0,1,0)*A31</f>
        <v>0</v>
      </c>
      <c r="B34" s="19" t="s">
        <v>226</v>
      </c>
      <c r="C34" s="17"/>
      <c r="D34" s="17"/>
      <c r="E34" s="18" t="s">
        <v>227</v>
      </c>
      <c r="F34" s="17"/>
      <c r="G34" s="17"/>
      <c r="H34" s="17"/>
      <c r="I34" s="17"/>
      <c r="J34" s="17"/>
      <c r="K34" s="12">
        <f>IF(COUNTBLANK(F34:I34)=3,F34*4,IF(COUNTBLANK(F34:I34)=2,(F34+G34)*2,IF(COUNTBLANK(F34:I34)=1,SUM(F34:H34)/0.75,SUM(F34:I34))))</f>
        <v>0</v>
      </c>
      <c r="L34" s="11">
        <f>IF(K34&gt;=40,1,IF(K34&gt;=20,2,4))</f>
        <v>4</v>
      </c>
      <c r="M34" s="11">
        <f>4-COUNTBLANK(F34:I34)</f>
        <v>0</v>
      </c>
      <c r="N34" s="11"/>
      <c r="O34" s="4" t="str">
        <f>[1]o!AE41</f>
        <v>havre, flyg-</v>
      </c>
    </row>
    <row r="35" spans="1:20" s="16" customFormat="1" ht="13.5" customHeight="1" thickBot="1" x14ac:dyDescent="0.25">
      <c r="A35" s="4">
        <f>A31*A32*A33*A34</f>
        <v>0</v>
      </c>
      <c r="B35" s="15" t="s">
        <v>228</v>
      </c>
      <c r="C35" s="13"/>
      <c r="D35" s="13"/>
      <c r="E35" s="14" t="s">
        <v>229</v>
      </c>
      <c r="F35" s="13"/>
      <c r="G35" s="13"/>
      <c r="H35" s="13"/>
      <c r="I35" s="13"/>
      <c r="J35" s="13"/>
      <c r="K35" s="12">
        <f>IF(COUNTBLANK(F35:I35)=3,F35*4,IF(COUNTBLANK(F35:I35)=2,(F35+G35)*2,IF(COUNTBLANK(F35:I35)=1,SUM(F35:H35)/0.75,SUM(F35:I35))))</f>
        <v>0</v>
      </c>
      <c r="L35" s="11">
        <f>IF(K35&gt;=40,1,IF(K35&gt;=20,2,4))</f>
        <v>4</v>
      </c>
      <c r="M35" s="11">
        <f>4-COUNTBLANK(F35:I35)</f>
        <v>0</v>
      </c>
      <c r="N35" s="11"/>
      <c r="O35" s="4" t="str">
        <f>[1]o!AE42</f>
        <v>havre, spill-</v>
      </c>
    </row>
    <row r="36" spans="1:20" s="16" customFormat="1" ht="13.5" customHeight="1" x14ac:dyDescent="0.2">
      <c r="A36" s="4">
        <f>IF(B37=0,0,1)</f>
        <v>0</v>
      </c>
      <c r="B36" s="27" t="s">
        <v>233</v>
      </c>
      <c r="C36" s="26" t="s">
        <v>218</v>
      </c>
      <c r="D36" s="25"/>
      <c r="E36" s="24"/>
      <c r="F36" s="23" t="s">
        <v>219</v>
      </c>
      <c r="G36" s="23" t="s">
        <v>219</v>
      </c>
      <c r="H36" s="23" t="s">
        <v>219</v>
      </c>
      <c r="I36" s="23" t="s">
        <v>219</v>
      </c>
      <c r="J36" s="22" t="s">
        <v>220</v>
      </c>
      <c r="K36" s="29"/>
      <c r="L36" s="28"/>
      <c r="M36" s="28"/>
      <c r="N36" s="28"/>
      <c r="O36" s="4" t="str">
        <f>[1]o!AE43</f>
        <v>hirs, höns-</v>
      </c>
    </row>
    <row r="37" spans="1:20" s="10" customFormat="1" ht="13.5" customHeight="1" x14ac:dyDescent="0.2">
      <c r="A37" s="4">
        <f>IF(AND(COUNTBLANK(C38:D40)=0,D36&gt;0),1,0)*A36</f>
        <v>0</v>
      </c>
      <c r="B37" s="21"/>
      <c r="C37" s="20" t="s">
        <v>221</v>
      </c>
      <c r="D37" s="20" t="s">
        <v>222</v>
      </c>
      <c r="E37" s="18" t="s">
        <v>223</v>
      </c>
      <c r="F37" s="17"/>
      <c r="G37" s="17"/>
      <c r="H37" s="17"/>
      <c r="I37" s="17"/>
      <c r="J37" s="17"/>
      <c r="K37" s="12">
        <f>IF(COUNTBLANK(F37:I37)=3,F37*4,IF(COUNTBLANK(F37:I37)=2,(F37+G37)*2,IF(COUNTBLANK(F37:I37)=1,SUM(F37:H37)/0.75,SUM(F37:I37))))</f>
        <v>0</v>
      </c>
      <c r="L37" s="11">
        <f>IF(K37&gt;=40,1,IF(K37&gt;=20,2,4))</f>
        <v>4</v>
      </c>
      <c r="M37" s="11">
        <f>4-COUNTBLANK(F37:I37)</f>
        <v>0</v>
      </c>
      <c r="N37" s="11">
        <f>COUNTBLANK(C36:J40)+COUNTBLANK(B37)</f>
        <v>29</v>
      </c>
      <c r="O37" s="4" t="str">
        <f>[1]o!AE44</f>
        <v>hästhov</v>
      </c>
      <c r="P37" s="16"/>
      <c r="S37" s="16"/>
      <c r="T37" s="16"/>
    </row>
    <row r="38" spans="1:20" s="4" customFormat="1" ht="13.5" customHeight="1" x14ac:dyDescent="0.2">
      <c r="A38" s="4">
        <f>IF(COUNTBLANK(J37:J40)=0,1,0)*A36</f>
        <v>0</v>
      </c>
      <c r="B38" s="19" t="s">
        <v>224</v>
      </c>
      <c r="C38" s="17"/>
      <c r="D38" s="17"/>
      <c r="E38" s="18" t="s">
        <v>225</v>
      </c>
      <c r="F38" s="17"/>
      <c r="G38" s="17"/>
      <c r="H38" s="17"/>
      <c r="I38" s="17"/>
      <c r="J38" s="17"/>
      <c r="K38" s="12">
        <f>IF(COUNTBLANK(F38:I38)=3,F38*4,IF(COUNTBLANK(F38:I38)=2,(F38+G38)*2,IF(COUNTBLANK(F38:I38)=1,SUM(F38:H38)/0.75,SUM(F38:I38))))</f>
        <v>0</v>
      </c>
      <c r="L38" s="11">
        <f>IF(K38&gt;=40,1,IF(K38&gt;=20,2,4))</f>
        <v>4</v>
      </c>
      <c r="M38" s="11">
        <f>4-COUNTBLANK(F38:I38)</f>
        <v>0</v>
      </c>
      <c r="N38" s="11"/>
      <c r="O38" s="4" t="str">
        <f>[1]o!AE45</f>
        <v>hönshirs</v>
      </c>
      <c r="P38" s="16"/>
      <c r="S38" s="16"/>
      <c r="T38" s="10"/>
    </row>
    <row r="39" spans="1:20" s="4" customFormat="1" ht="13.5" customHeight="1" x14ac:dyDescent="0.2">
      <c r="A39" s="4">
        <f>IF(SUM(L37:L40)-SUM(M37:M40)&lt;=0,1,0)*A36</f>
        <v>0</v>
      </c>
      <c r="B39" s="19" t="s">
        <v>226</v>
      </c>
      <c r="C39" s="17"/>
      <c r="D39" s="17"/>
      <c r="E39" s="18" t="s">
        <v>227</v>
      </c>
      <c r="F39" s="17"/>
      <c r="G39" s="17"/>
      <c r="H39" s="17"/>
      <c r="I39" s="17"/>
      <c r="J39" s="17"/>
      <c r="K39" s="12">
        <f>IF(COUNTBLANK(F39:I39)=3,F39*4,IF(COUNTBLANK(F39:I39)=2,(F39+G39)*2,IF(COUNTBLANK(F39:I39)=1,SUM(F39:H39)/0.75,SUM(F39:I39))))</f>
        <v>0</v>
      </c>
      <c r="L39" s="11">
        <f>IF(K39&gt;=40,1,IF(K39&gt;=20,2,4))</f>
        <v>4</v>
      </c>
      <c r="M39" s="11">
        <f>4-COUNTBLANK(F39:I39)</f>
        <v>0</v>
      </c>
      <c r="N39" s="11"/>
      <c r="O39" s="4" t="str">
        <f>[1]o!AE46</f>
        <v>ital rajgräs</v>
      </c>
      <c r="P39" s="16"/>
      <c r="S39" s="10"/>
    </row>
    <row r="40" spans="1:20" s="4" customFormat="1" ht="13.5" customHeight="1" thickBot="1" x14ac:dyDescent="0.25">
      <c r="A40" s="4">
        <f>A36*A37*A38*A39</f>
        <v>0</v>
      </c>
      <c r="B40" s="15" t="s">
        <v>228</v>
      </c>
      <c r="C40" s="13"/>
      <c r="D40" s="13"/>
      <c r="E40" s="14" t="s">
        <v>229</v>
      </c>
      <c r="F40" s="13"/>
      <c r="G40" s="13"/>
      <c r="H40" s="13"/>
      <c r="I40" s="13"/>
      <c r="J40" s="13"/>
      <c r="K40" s="12">
        <f>IF(COUNTBLANK(F40:I40)=3,F40*4,IF(COUNTBLANK(F40:I40)=2,(F40+G40)*2,IF(COUNTBLANK(F40:I40)=1,SUM(F40:H40)/0.75,SUM(F40:I40))))</f>
        <v>0</v>
      </c>
      <c r="L40" s="11">
        <f>IF(K40&gt;=40,1,IF(K40&gt;=20,2,4))</f>
        <v>4</v>
      </c>
      <c r="M40" s="11">
        <f>4-COUNTBLANK(F40:I40)</f>
        <v>0</v>
      </c>
      <c r="N40" s="11"/>
      <c r="O40" s="4" t="str">
        <f>[1]o!AE47</f>
        <v>jordrök</v>
      </c>
      <c r="P40" s="10"/>
    </row>
    <row r="41" spans="1:20" s="16" customFormat="1" ht="13.5" customHeight="1" x14ac:dyDescent="0.2">
      <c r="A41" s="4">
        <f>IF(B42=0,0,1)</f>
        <v>0</v>
      </c>
      <c r="B41" s="27" t="s">
        <v>234</v>
      </c>
      <c r="C41" s="26" t="s">
        <v>218</v>
      </c>
      <c r="D41" s="25"/>
      <c r="E41" s="24"/>
      <c r="F41" s="23" t="s">
        <v>219</v>
      </c>
      <c r="G41" s="23" t="s">
        <v>219</v>
      </c>
      <c r="H41" s="23" t="s">
        <v>219</v>
      </c>
      <c r="I41" s="23" t="s">
        <v>219</v>
      </c>
      <c r="J41" s="22" t="s">
        <v>220</v>
      </c>
      <c r="K41" s="12"/>
      <c r="L41" s="11"/>
      <c r="M41" s="11"/>
      <c r="N41" s="11"/>
      <c r="O41" s="4" t="str">
        <f>[1]o!AE48</f>
        <v>kamomill, gat-</v>
      </c>
    </row>
    <row r="42" spans="1:20" s="10" customFormat="1" ht="13.5" customHeight="1" x14ac:dyDescent="0.2">
      <c r="A42" s="4">
        <f>IF(AND(COUNTBLANK(C43:D45)=0,D41&gt;0),1,0)*A41</f>
        <v>0</v>
      </c>
      <c r="B42" s="21"/>
      <c r="C42" s="20" t="s">
        <v>221</v>
      </c>
      <c r="D42" s="20" t="s">
        <v>222</v>
      </c>
      <c r="E42" s="18" t="s">
        <v>223</v>
      </c>
      <c r="F42" s="17"/>
      <c r="G42" s="17"/>
      <c r="H42" s="17"/>
      <c r="I42" s="17"/>
      <c r="J42" s="17"/>
      <c r="K42" s="12">
        <f>IF(COUNTBLANK(F42:I42)=3,F42*4,IF(COUNTBLANK(F42:I42)=2,(F42+G42)*2,IF(COUNTBLANK(F42:I42)=1,SUM(F42:H42)/0.75,SUM(F42:I42))))</f>
        <v>0</v>
      </c>
      <c r="L42" s="11">
        <f>IF(K42&gt;=40,1,IF(K42&gt;=20,2,4))</f>
        <v>4</v>
      </c>
      <c r="M42" s="11">
        <f>4-COUNTBLANK(F42:I42)</f>
        <v>0</v>
      </c>
      <c r="N42" s="11">
        <f>COUNTBLANK(C41:J45)+COUNTBLANK(B42)</f>
        <v>29</v>
      </c>
      <c r="O42" s="4" t="str">
        <f>[1]o!AE49</f>
        <v>kamomill, vanlig</v>
      </c>
      <c r="P42" s="16"/>
      <c r="S42" s="16"/>
      <c r="T42" s="16"/>
    </row>
    <row r="43" spans="1:20" s="4" customFormat="1" ht="13.5" customHeight="1" x14ac:dyDescent="0.2">
      <c r="A43" s="4">
        <f>IF(COUNTBLANK(J42:J45)=0,1,0)*A41</f>
        <v>0</v>
      </c>
      <c r="B43" s="19" t="s">
        <v>224</v>
      </c>
      <c r="C43" s="17"/>
      <c r="D43" s="17"/>
      <c r="E43" s="18" t="s">
        <v>225</v>
      </c>
      <c r="F43" s="17"/>
      <c r="G43" s="17"/>
      <c r="H43" s="17"/>
      <c r="I43" s="17"/>
      <c r="J43" s="17"/>
      <c r="K43" s="12">
        <f>IF(COUNTBLANK(F43:I43)=3,F43*4,IF(COUNTBLANK(F43:I43)=2,(F43+G43)*2,IF(COUNTBLANK(F43:I43)=1,SUM(F43:H43)/0.75,SUM(F43:I43))))</f>
        <v>0</v>
      </c>
      <c r="L43" s="11">
        <f>IF(K43&gt;=40,1,IF(K43&gt;=20,2,4))</f>
        <v>4</v>
      </c>
      <c r="M43" s="11">
        <f>4-COUNTBLANK(F43:I43)</f>
        <v>0</v>
      </c>
      <c r="N43" s="11"/>
      <c r="O43" s="4" t="str">
        <f>[1]o!AE50</f>
        <v>kirskål</v>
      </c>
      <c r="P43" s="16"/>
      <c r="S43" s="16"/>
      <c r="T43" s="10"/>
    </row>
    <row r="44" spans="1:20" s="4" customFormat="1" ht="13.5" customHeight="1" x14ac:dyDescent="0.2">
      <c r="A44" s="4">
        <f>IF(SUM(L42:L45)-SUM(M42:M45)&lt;=0,1,0)*A41</f>
        <v>0</v>
      </c>
      <c r="B44" s="19" t="s">
        <v>226</v>
      </c>
      <c r="C44" s="17"/>
      <c r="D44" s="17"/>
      <c r="E44" s="18" t="s">
        <v>227</v>
      </c>
      <c r="F44" s="17"/>
      <c r="G44" s="17"/>
      <c r="H44" s="17"/>
      <c r="I44" s="17"/>
      <c r="J44" s="17"/>
      <c r="K44" s="12">
        <f>IF(COUNTBLANK(F44:I44)=3,F44*4,IF(COUNTBLANK(F44:I44)=2,(F44+G44)*2,IF(COUNTBLANK(F44:I44)=1,SUM(F44:H44)/0.75,SUM(F44:I44))))</f>
        <v>0</v>
      </c>
      <c r="L44" s="11">
        <f>IF(K44&gt;=40,1,IF(K44&gt;=20,2,4))</f>
        <v>4</v>
      </c>
      <c r="M44" s="11">
        <f>4-COUNTBLANK(F44:I44)</f>
        <v>0</v>
      </c>
      <c r="N44" s="11"/>
      <c r="O44" s="4" t="str">
        <f>[1]o!AE51</f>
        <v>knölsyska</v>
      </c>
      <c r="P44" s="16"/>
      <c r="S44" s="10"/>
    </row>
    <row r="45" spans="1:20" s="4" customFormat="1" ht="13.5" customHeight="1" thickBot="1" x14ac:dyDescent="0.25">
      <c r="A45" s="4">
        <f>A41*A42*A43*A44</f>
        <v>0</v>
      </c>
      <c r="B45" s="15" t="s">
        <v>228</v>
      </c>
      <c r="C45" s="13"/>
      <c r="D45" s="13"/>
      <c r="E45" s="14" t="s">
        <v>229</v>
      </c>
      <c r="F45" s="13"/>
      <c r="G45" s="13"/>
      <c r="H45" s="13"/>
      <c r="I45" s="13"/>
      <c r="J45" s="13"/>
      <c r="K45" s="12">
        <f>IF(COUNTBLANK(F45:I45)=3,F45*4,IF(COUNTBLANK(F45:I45)=2,(F45+G45)*2,IF(COUNTBLANK(F45:I45)=1,SUM(F45:H45)/0.75,SUM(F45:I45))))</f>
        <v>0</v>
      </c>
      <c r="L45" s="11">
        <f>IF(K45&gt;=40,1,IF(K45&gt;=20,2,4))</f>
        <v>4</v>
      </c>
      <c r="M45" s="11">
        <f>4-COUNTBLANK(F45:I45)</f>
        <v>0</v>
      </c>
      <c r="N45" s="11"/>
      <c r="O45" s="4" t="str">
        <f>[1]o!AE52</f>
        <v>korn, spill-</v>
      </c>
      <c r="P45" s="10"/>
    </row>
    <row r="46" spans="1:20" s="16" customFormat="1" ht="13.5" customHeight="1" x14ac:dyDescent="0.2">
      <c r="A46" s="4">
        <f>IF(B47=0,0,1)</f>
        <v>0</v>
      </c>
      <c r="B46" s="27" t="s">
        <v>235</v>
      </c>
      <c r="C46" s="26" t="s">
        <v>218</v>
      </c>
      <c r="D46" s="25"/>
      <c r="E46" s="24"/>
      <c r="F46" s="23" t="s">
        <v>219</v>
      </c>
      <c r="G46" s="23" t="s">
        <v>219</v>
      </c>
      <c r="H46" s="23" t="s">
        <v>219</v>
      </c>
      <c r="I46" s="23" t="s">
        <v>219</v>
      </c>
      <c r="J46" s="22" t="s">
        <v>220</v>
      </c>
      <c r="K46" s="29"/>
      <c r="L46" s="28"/>
      <c r="M46" s="28"/>
      <c r="N46" s="28"/>
      <c r="O46" s="4" t="str">
        <f>[1]o!AE53</f>
        <v>kornvallmo</v>
      </c>
    </row>
    <row r="47" spans="1:20" s="10" customFormat="1" ht="13.5" customHeight="1" x14ac:dyDescent="0.2">
      <c r="A47" s="4">
        <f>IF(AND(COUNTBLANK(C48:D50)=0,D46&gt;0),1,0)*A46</f>
        <v>0</v>
      </c>
      <c r="B47" s="21"/>
      <c r="C47" s="20" t="s">
        <v>221</v>
      </c>
      <c r="D47" s="20" t="s">
        <v>222</v>
      </c>
      <c r="E47" s="18" t="s">
        <v>223</v>
      </c>
      <c r="F47" s="17"/>
      <c r="G47" s="17"/>
      <c r="H47" s="17"/>
      <c r="I47" s="17"/>
      <c r="J47" s="17"/>
      <c r="K47" s="12">
        <f>IF(COUNTBLANK(F47:I47)=3,F47*4,IF(COUNTBLANK(F47:I47)=2,(F47+G47)*2,IF(COUNTBLANK(F47:I47)=1,SUM(F47:H47)/0.75,SUM(F47:I47))))</f>
        <v>0</v>
      </c>
      <c r="L47" s="11">
        <f>IF(K47&gt;=40,1,IF(K47&gt;=20,2,4))</f>
        <v>4</v>
      </c>
      <c r="M47" s="11">
        <f>4-COUNTBLANK(F47:I47)</f>
        <v>0</v>
      </c>
      <c r="N47" s="11">
        <f>COUNTBLANK(C46:J50)+COUNTBLANK(B47)</f>
        <v>29</v>
      </c>
      <c r="O47" s="4" t="str">
        <f>[1]o!AE54</f>
        <v>korsört</v>
      </c>
      <c r="P47" s="16"/>
      <c r="S47" s="16"/>
      <c r="T47" s="16"/>
    </row>
    <row r="48" spans="1:20" s="4" customFormat="1" ht="13.5" customHeight="1" x14ac:dyDescent="0.2">
      <c r="A48" s="4">
        <f>IF(COUNTBLANK(J47:J50)=0,1,0)*A46</f>
        <v>0</v>
      </c>
      <c r="B48" s="19" t="s">
        <v>224</v>
      </c>
      <c r="C48" s="17"/>
      <c r="D48" s="17"/>
      <c r="E48" s="18" t="s">
        <v>225</v>
      </c>
      <c r="F48" s="17"/>
      <c r="G48" s="17"/>
      <c r="H48" s="17"/>
      <c r="I48" s="17"/>
      <c r="J48" s="17"/>
      <c r="K48" s="12">
        <f>IF(COUNTBLANK(F48:I48)=3,F48*4,IF(COUNTBLANK(F48:I48)=2,(F48+G48)*2,IF(COUNTBLANK(F48:I48)=1,SUM(F48:H48)/0.75,SUM(F48:I48))))</f>
        <v>0</v>
      </c>
      <c r="L48" s="11">
        <f>IF(K48&gt;=40,1,IF(K48&gt;=20,2,4))</f>
        <v>4</v>
      </c>
      <c r="M48" s="11">
        <f>4-COUNTBLANK(F48:I48)</f>
        <v>0</v>
      </c>
      <c r="N48" s="11"/>
      <c r="O48" s="4" t="str">
        <f>[1]o!AE55</f>
        <v>kvickrot</v>
      </c>
      <c r="P48" s="16"/>
      <c r="S48" s="16"/>
      <c r="T48" s="10"/>
    </row>
    <row r="49" spans="1:20" s="4" customFormat="1" ht="13.5" customHeight="1" x14ac:dyDescent="0.2">
      <c r="A49" s="4">
        <f>IF(SUM(L47:L50)-SUM(M47:M50)&lt;=0,1,0)*A46</f>
        <v>0</v>
      </c>
      <c r="B49" s="19" t="s">
        <v>226</v>
      </c>
      <c r="C49" s="17"/>
      <c r="D49" s="17"/>
      <c r="E49" s="18" t="s">
        <v>227</v>
      </c>
      <c r="F49" s="17"/>
      <c r="G49" s="17"/>
      <c r="H49" s="17"/>
      <c r="I49" s="17"/>
      <c r="J49" s="17"/>
      <c r="K49" s="12">
        <f>IF(COUNTBLANK(F49:I49)=3,F49*4,IF(COUNTBLANK(F49:I49)=2,(F49+G49)*2,IF(COUNTBLANK(F49:I49)=1,SUM(F49:H49)/0.75,SUM(F49:I49))))</f>
        <v>0</v>
      </c>
      <c r="L49" s="11">
        <f>IF(K49&gt;=40,1,IF(K49&gt;=20,2,4))</f>
        <v>4</v>
      </c>
      <c r="M49" s="11">
        <f>4-COUNTBLANK(F49:I49)</f>
        <v>0</v>
      </c>
      <c r="N49" s="11"/>
      <c r="O49" s="4" t="str">
        <f>[1]o!AE56</f>
        <v>kämpar, röd-</v>
      </c>
      <c r="P49" s="16"/>
      <c r="S49" s="10"/>
    </row>
    <row r="50" spans="1:20" s="4" customFormat="1" ht="13.5" customHeight="1" thickBot="1" x14ac:dyDescent="0.25">
      <c r="A50" s="4">
        <f>A46*A47*A48*A49</f>
        <v>0</v>
      </c>
      <c r="B50" s="15" t="s">
        <v>228</v>
      </c>
      <c r="C50" s="13"/>
      <c r="D50" s="13"/>
      <c r="E50" s="14" t="s">
        <v>229</v>
      </c>
      <c r="F50" s="13"/>
      <c r="G50" s="13"/>
      <c r="H50" s="13"/>
      <c r="I50" s="13"/>
      <c r="J50" s="13"/>
      <c r="K50" s="12">
        <f>IF(COUNTBLANK(F50:I50)=3,F50*4,IF(COUNTBLANK(F50:I50)=2,(F50+G50)*2,IF(COUNTBLANK(F50:I50)=1,SUM(F50:H50)/0.75,SUM(F50:I50))))</f>
        <v>0</v>
      </c>
      <c r="L50" s="11">
        <f>IF(K50&gt;=40,1,IF(K50&gt;=20,2,4))</f>
        <v>4</v>
      </c>
      <c r="M50" s="11">
        <f>4-COUNTBLANK(F50:I50)</f>
        <v>0</v>
      </c>
      <c r="N50" s="11"/>
      <c r="O50" s="4" t="str">
        <f>[1]o!AE57</f>
        <v>kämpar, svart-</v>
      </c>
      <c r="P50" s="10"/>
    </row>
    <row r="51" spans="1:20" s="16" customFormat="1" ht="13.5" customHeight="1" x14ac:dyDescent="0.2">
      <c r="A51" s="4">
        <f>IF(B52=0,0,1)</f>
        <v>0</v>
      </c>
      <c r="B51" s="27" t="s">
        <v>236</v>
      </c>
      <c r="C51" s="26" t="s">
        <v>218</v>
      </c>
      <c r="D51" s="25"/>
      <c r="E51" s="24"/>
      <c r="F51" s="23" t="s">
        <v>219</v>
      </c>
      <c r="G51" s="23" t="s">
        <v>219</v>
      </c>
      <c r="H51" s="23" t="s">
        <v>219</v>
      </c>
      <c r="I51" s="23" t="s">
        <v>219</v>
      </c>
      <c r="J51" s="22" t="s">
        <v>220</v>
      </c>
      <c r="K51" s="12"/>
      <c r="L51" s="11"/>
      <c r="M51" s="11"/>
      <c r="N51" s="11"/>
      <c r="O51" s="4" t="str">
        <f>[1]o!AE58</f>
        <v>lomme</v>
      </c>
    </row>
    <row r="52" spans="1:20" s="10" customFormat="1" ht="13.5" customHeight="1" x14ac:dyDescent="0.2">
      <c r="A52" s="4">
        <f>IF(AND(COUNTBLANK(C53:D55)=0,D51&gt;0),1,0)*A51</f>
        <v>0</v>
      </c>
      <c r="B52" s="21"/>
      <c r="C52" s="20" t="s">
        <v>221</v>
      </c>
      <c r="D52" s="20" t="s">
        <v>222</v>
      </c>
      <c r="E52" s="18" t="s">
        <v>223</v>
      </c>
      <c r="F52" s="17"/>
      <c r="G52" s="17"/>
      <c r="H52" s="17"/>
      <c r="I52" s="17"/>
      <c r="J52" s="17"/>
      <c r="K52" s="12">
        <f>IF(COUNTBLANK(F52:I52)=3,F52*4,IF(COUNTBLANK(F52:I52)=2,(F52+G52)*2,IF(COUNTBLANK(F52:I52)=1,SUM(F52:H52)/0.75,SUM(F52:I52))))</f>
        <v>0</v>
      </c>
      <c r="L52" s="11">
        <f>IF(K52&gt;=40,1,IF(K52&gt;=20,2,4))</f>
        <v>4</v>
      </c>
      <c r="M52" s="11">
        <f>4-COUNTBLANK(F52:I52)</f>
        <v>0</v>
      </c>
      <c r="N52" s="11">
        <f>COUNTBLANK(C51:J55)+COUNTBLANK(B52)</f>
        <v>29</v>
      </c>
      <c r="O52" s="4" t="str">
        <f>[1]o!AE59</f>
        <v>majveronika</v>
      </c>
      <c r="P52" s="16"/>
      <c r="S52" s="16"/>
      <c r="T52" s="16"/>
    </row>
    <row r="53" spans="1:20" s="4" customFormat="1" ht="13.5" customHeight="1" x14ac:dyDescent="0.2">
      <c r="A53" s="4">
        <f>IF(COUNTBLANK(J52:J55)=0,1,0)*A51</f>
        <v>0</v>
      </c>
      <c r="B53" s="19" t="s">
        <v>224</v>
      </c>
      <c r="C53" s="17"/>
      <c r="D53" s="17"/>
      <c r="E53" s="18" t="s">
        <v>225</v>
      </c>
      <c r="F53" s="17"/>
      <c r="G53" s="17"/>
      <c r="H53" s="17"/>
      <c r="I53" s="17"/>
      <c r="J53" s="17"/>
      <c r="K53" s="12">
        <f>IF(COUNTBLANK(F53:I53)=3,F53*4,IF(COUNTBLANK(F53:I53)=2,(F53+G53)*2,IF(COUNTBLANK(F53:I53)=1,SUM(F53:H53)/0.75,SUM(F53:I53))))</f>
        <v>0</v>
      </c>
      <c r="L53" s="11">
        <f>IF(K53&gt;=40,1,IF(K53&gt;=20,2,4))</f>
        <v>4</v>
      </c>
      <c r="M53" s="11">
        <f>4-COUNTBLANK(F53:I53)</f>
        <v>0</v>
      </c>
      <c r="N53" s="11"/>
      <c r="O53" s="4" t="str">
        <f>[1]o!AE60</f>
        <v>maskros</v>
      </c>
      <c r="P53" s="16"/>
      <c r="S53" s="16"/>
      <c r="T53" s="10"/>
    </row>
    <row r="54" spans="1:20" s="4" customFormat="1" ht="13.5" customHeight="1" x14ac:dyDescent="0.2">
      <c r="A54" s="4">
        <f>IF(SUM(L52:L55)-SUM(M52:M55)&lt;=0,1,0)*A51</f>
        <v>0</v>
      </c>
      <c r="B54" s="19" t="s">
        <v>226</v>
      </c>
      <c r="C54" s="17"/>
      <c r="D54" s="17"/>
      <c r="E54" s="18" t="s">
        <v>227</v>
      </c>
      <c r="F54" s="17"/>
      <c r="G54" s="17"/>
      <c r="H54" s="17"/>
      <c r="I54" s="17"/>
      <c r="J54" s="17"/>
      <c r="K54" s="12">
        <f>IF(COUNTBLANK(F54:I54)=3,F54*4,IF(COUNTBLANK(F54:I54)=2,(F54+G54)*2,IF(COUNTBLANK(F54:I54)=1,SUM(F54:H54)/0.75,SUM(F54:I54))))</f>
        <v>0</v>
      </c>
      <c r="L54" s="11">
        <f>IF(K54&gt;=40,1,IF(K54&gt;=20,2,4))</f>
        <v>4</v>
      </c>
      <c r="M54" s="11">
        <f>4-COUNTBLANK(F54:I54)</f>
        <v>0</v>
      </c>
      <c r="N54" s="11"/>
      <c r="O54" s="4" t="str">
        <f>[1]o!AE61</f>
        <v>mjukdån</v>
      </c>
      <c r="P54" s="16"/>
      <c r="S54" s="10"/>
    </row>
    <row r="55" spans="1:20" s="4" customFormat="1" ht="13.5" customHeight="1" thickBot="1" x14ac:dyDescent="0.25">
      <c r="A55" s="4">
        <f>A51*A52*A53*A54</f>
        <v>0</v>
      </c>
      <c r="B55" s="15" t="s">
        <v>228</v>
      </c>
      <c r="C55" s="13"/>
      <c r="D55" s="13"/>
      <c r="E55" s="14" t="s">
        <v>229</v>
      </c>
      <c r="F55" s="13"/>
      <c r="G55" s="13"/>
      <c r="H55" s="13"/>
      <c r="I55" s="13"/>
      <c r="J55" s="13"/>
      <c r="K55" s="12">
        <f>IF(COUNTBLANK(F55:I55)=3,F55*4,IF(COUNTBLANK(F55:I55)=2,(F55+G55)*2,IF(COUNTBLANK(F55:I55)=1,SUM(F55:H55)/0.75,SUM(F55:I55))))</f>
        <v>0</v>
      </c>
      <c r="L55" s="11">
        <f>IF(K55&gt;=40,1,IF(K55&gt;=20,2,4))</f>
        <v>4</v>
      </c>
      <c r="M55" s="11">
        <f>4-COUNTBLANK(F55:I55)</f>
        <v>0</v>
      </c>
      <c r="N55" s="11"/>
      <c r="O55" s="4" t="str">
        <f>[1]o!AE62</f>
        <v>mjuknäva</v>
      </c>
      <c r="P55" s="10"/>
    </row>
    <row r="56" spans="1:20" s="4" customFormat="1" ht="11.25" customHeight="1" x14ac:dyDescent="0.2">
      <c r="B56" s="9" t="s">
        <v>237</v>
      </c>
      <c r="C56" s="194" t="s">
        <v>238</v>
      </c>
      <c r="D56" s="194"/>
      <c r="E56" s="6"/>
      <c r="F56" s="6"/>
      <c r="G56" s="6"/>
      <c r="H56" s="6"/>
      <c r="I56" s="6"/>
      <c r="J56" s="8"/>
      <c r="O56" s="4" t="str">
        <f>[1]o!AE64</f>
        <v>molke, åker-</v>
      </c>
    </row>
    <row r="57" spans="1:20" s="4" customFormat="1" ht="11.25" customHeight="1" x14ac:dyDescent="0.2">
      <c r="B57" s="195"/>
      <c r="C57" s="197"/>
      <c r="D57" s="198"/>
      <c r="E57" s="6"/>
      <c r="F57" s="201"/>
      <c r="G57" s="201"/>
      <c r="H57" s="201"/>
      <c r="I57" s="201"/>
      <c r="J57" s="202"/>
      <c r="O57" s="4" t="str">
        <f>[1]o!AE65</f>
        <v>murgrönsveronika</v>
      </c>
    </row>
    <row r="58" spans="1:20" s="4" customFormat="1" ht="11.25" customHeight="1" x14ac:dyDescent="0.2">
      <c r="A58" s="4">
        <f>IF(OR(ISBLANK(B57),ISBLANK(C57)),1000,0)</f>
        <v>1000</v>
      </c>
      <c r="B58" s="196"/>
      <c r="C58" s="199"/>
      <c r="D58" s="200"/>
      <c r="E58" s="7"/>
      <c r="F58" s="203"/>
      <c r="G58" s="203"/>
      <c r="H58" s="203"/>
      <c r="I58" s="203"/>
      <c r="J58" s="204"/>
      <c r="O58" s="4" t="str">
        <f>[1]o!AE66</f>
        <v>målla</v>
      </c>
    </row>
    <row r="59" spans="1:20" s="4" customFormat="1" ht="11.25" customHeight="1" x14ac:dyDescent="0.2">
      <c r="B59" s="6"/>
      <c r="C59" s="6"/>
      <c r="D59" s="6"/>
      <c r="E59" s="6"/>
      <c r="F59" s="6"/>
      <c r="G59" s="6"/>
      <c r="H59" s="6"/>
      <c r="I59" s="6"/>
      <c r="J59" s="6"/>
      <c r="O59" s="4" t="str">
        <f>[1]o!AE67</f>
        <v>målla, svin-</v>
      </c>
    </row>
    <row r="60" spans="1:20" s="4" customFormat="1" ht="11.25" customHeight="1" x14ac:dyDescent="0.2">
      <c r="B60" s="6"/>
      <c r="C60" s="6"/>
      <c r="D60" s="6"/>
      <c r="E60" s="6"/>
      <c r="F60" s="6"/>
      <c r="G60" s="6"/>
      <c r="H60" s="6"/>
      <c r="I60" s="6"/>
      <c r="J60" s="6"/>
      <c r="O60" s="4" t="str">
        <f>[1]o!AE68</f>
        <v>målla, väg-</v>
      </c>
    </row>
    <row r="61" spans="1:20" s="4" customFormat="1" ht="11.25" customHeight="1" x14ac:dyDescent="0.2">
      <c r="B61" s="6"/>
      <c r="C61" s="6"/>
      <c r="D61" s="6"/>
      <c r="E61" s="6"/>
      <c r="F61" s="6"/>
      <c r="G61" s="6"/>
      <c r="H61" s="6"/>
      <c r="I61" s="6"/>
      <c r="J61" s="6"/>
      <c r="O61" s="4" t="str">
        <f>[1]o!AE69</f>
        <v>måra, gul-</v>
      </c>
    </row>
    <row r="62" spans="1:20" s="4" customFormat="1" ht="11.25" customHeight="1" x14ac:dyDescent="0.2">
      <c r="B62" s="6"/>
      <c r="C62" s="6"/>
      <c r="D62" s="6"/>
      <c r="E62" s="6"/>
      <c r="F62" s="6"/>
      <c r="G62" s="6"/>
      <c r="H62" s="6"/>
      <c r="I62" s="6"/>
      <c r="J62" s="6"/>
      <c r="K62" s="5"/>
      <c r="L62" s="5"/>
      <c r="M62" s="5"/>
      <c r="N62" s="5"/>
      <c r="O62" s="4" t="str">
        <f>[1]o!AE70</f>
        <v>måra, snärj-</v>
      </c>
    </row>
    <row r="63" spans="1:20" s="4" customFormat="1" ht="11.25" customHeight="1" x14ac:dyDescent="0.2">
      <c r="B63" s="6"/>
      <c r="C63" s="6"/>
      <c r="D63" s="6"/>
      <c r="E63" s="6"/>
      <c r="F63" s="6"/>
      <c r="G63" s="6"/>
      <c r="H63" s="6"/>
      <c r="I63" s="6"/>
      <c r="J63" s="6"/>
      <c r="K63" s="5"/>
      <c r="L63" s="5"/>
      <c r="M63" s="5"/>
      <c r="N63" s="5"/>
      <c r="O63" s="4" t="str">
        <f>[1]o!AE71</f>
        <v>nässla, bränn-</v>
      </c>
    </row>
    <row r="64" spans="1:20" s="4" customFormat="1" ht="11.25" customHeight="1" x14ac:dyDescent="0.2">
      <c r="B64" s="6"/>
      <c r="C64" s="6"/>
      <c r="D64" s="6"/>
      <c r="E64" s="6"/>
      <c r="F64" s="6"/>
      <c r="G64" s="6"/>
      <c r="H64" s="6"/>
      <c r="I64" s="6"/>
      <c r="J64" s="6"/>
      <c r="K64" s="5"/>
      <c r="L64" s="5"/>
      <c r="M64" s="5"/>
      <c r="N64" s="5"/>
      <c r="O64" s="4" t="str">
        <f>[1]o!AE72</f>
        <v>nässla, etter-</v>
      </c>
    </row>
    <row r="65" spans="1:15" s="4" customFormat="1" ht="11.25" customHeight="1" x14ac:dyDescent="0.2">
      <c r="B65" s="6"/>
      <c r="C65" s="6"/>
      <c r="D65" s="6"/>
      <c r="E65" s="6"/>
      <c r="F65" s="6"/>
      <c r="G65" s="6"/>
      <c r="H65" s="6"/>
      <c r="I65" s="6"/>
      <c r="J65" s="6"/>
      <c r="K65" s="5"/>
      <c r="L65" s="5"/>
      <c r="M65" s="5"/>
      <c r="N65" s="5"/>
      <c r="O65" s="4" t="str">
        <f>[1]o!AE73</f>
        <v>näva, flik-</v>
      </c>
    </row>
    <row r="66" spans="1:15" s="4" customFormat="1" ht="11.25" customHeight="1" x14ac:dyDescent="0.25">
      <c r="A66" s="1"/>
      <c r="B66" s="6"/>
      <c r="C66" s="6"/>
      <c r="D66" s="6"/>
      <c r="E66" s="6"/>
      <c r="F66" s="6"/>
      <c r="G66" s="6"/>
      <c r="H66" s="6"/>
      <c r="I66" s="6"/>
      <c r="J66" s="6"/>
      <c r="K66" s="5"/>
      <c r="L66" s="5"/>
      <c r="M66" s="5"/>
      <c r="N66" s="5"/>
      <c r="O66" s="4" t="str">
        <f>[1]o!AE74</f>
        <v>näva, mjuk-</v>
      </c>
    </row>
    <row r="67" spans="1:15" s="4" customFormat="1" ht="11.25" customHeight="1" x14ac:dyDescent="0.25">
      <c r="A67" s="1"/>
      <c r="B67" s="6"/>
      <c r="C67" s="6"/>
      <c r="D67" s="6"/>
      <c r="E67" s="6"/>
      <c r="F67" s="6"/>
      <c r="G67" s="6"/>
      <c r="H67" s="6"/>
      <c r="I67" s="6"/>
      <c r="J67" s="6"/>
      <c r="K67" s="5"/>
      <c r="L67" s="5"/>
      <c r="M67" s="5"/>
      <c r="N67" s="5"/>
      <c r="O67" s="4" t="str">
        <f>[1]o!AE75</f>
        <v>näva, skat-</v>
      </c>
    </row>
    <row r="68" spans="1:15" s="4" customFormat="1" ht="11.25" customHeight="1" x14ac:dyDescent="0.25">
      <c r="A68" s="1"/>
      <c r="B68" s="6"/>
      <c r="C68" s="6"/>
      <c r="D68" s="6"/>
      <c r="E68" s="6"/>
      <c r="F68" s="6"/>
      <c r="G68" s="6"/>
      <c r="H68" s="6"/>
      <c r="I68" s="6"/>
      <c r="J68" s="6"/>
      <c r="K68" s="5"/>
      <c r="L68" s="5"/>
      <c r="M68" s="5"/>
      <c r="N68" s="5"/>
      <c r="O68" s="4" t="str">
        <f>[1]o!AE76</f>
        <v>näva, sparv-</v>
      </c>
    </row>
    <row r="69" spans="1:15" s="4" customFormat="1" ht="11.25" customHeight="1" x14ac:dyDescent="0.25">
      <c r="A69" s="1"/>
      <c r="B69" s="6"/>
      <c r="C69" s="6"/>
      <c r="D69" s="6"/>
      <c r="E69" s="6"/>
      <c r="F69" s="6"/>
      <c r="G69" s="6"/>
      <c r="H69" s="6"/>
      <c r="I69" s="6"/>
      <c r="J69" s="6"/>
      <c r="K69" s="5"/>
      <c r="L69" s="5"/>
      <c r="M69" s="5"/>
      <c r="N69" s="5"/>
      <c r="O69" s="4" t="str">
        <f>[1]o!AE77</f>
        <v>näva, stink-</v>
      </c>
    </row>
    <row r="70" spans="1:15" s="4" customFormat="1" ht="11.25" customHeight="1" x14ac:dyDescent="0.25">
      <c r="A70" s="1"/>
      <c r="B70" s="6"/>
      <c r="C70" s="6"/>
      <c r="D70" s="6"/>
      <c r="E70" s="6"/>
      <c r="F70" s="6"/>
      <c r="G70" s="6"/>
      <c r="H70" s="6"/>
      <c r="I70" s="6"/>
      <c r="J70" s="6"/>
      <c r="K70" s="5"/>
      <c r="L70" s="5"/>
      <c r="M70" s="5"/>
      <c r="N70" s="5"/>
      <c r="O70" s="4" t="str">
        <f>[1]o!AE78</f>
        <v>ogräs ospec</v>
      </c>
    </row>
    <row r="71" spans="1:15" s="4" customFormat="1" ht="11.25" customHeight="1" x14ac:dyDescent="0.25">
      <c r="A71" s="1"/>
      <c r="B71" s="3"/>
      <c r="C71" s="3"/>
      <c r="D71" s="3"/>
      <c r="E71" s="3"/>
      <c r="F71" s="3"/>
      <c r="G71" s="3"/>
      <c r="H71" s="3"/>
      <c r="I71" s="3"/>
      <c r="J71" s="3"/>
      <c r="K71" s="5"/>
      <c r="L71" s="5"/>
      <c r="M71" s="5"/>
      <c r="N71" s="5"/>
      <c r="O71" s="4" t="str">
        <f>[1]o!AE79</f>
        <v>penningört</v>
      </c>
    </row>
    <row r="72" spans="1:15" s="4" customFormat="1" x14ac:dyDescent="0.25">
      <c r="A72" s="1"/>
      <c r="B72" s="3"/>
      <c r="C72" s="3"/>
      <c r="D72" s="3"/>
      <c r="E72" s="3"/>
      <c r="F72" s="3"/>
      <c r="G72" s="3"/>
      <c r="H72" s="3"/>
      <c r="I72" s="3"/>
      <c r="J72" s="3"/>
      <c r="K72" s="5"/>
      <c r="L72" s="5"/>
      <c r="M72" s="5"/>
      <c r="N72" s="5"/>
      <c r="O72" s="4" t="str">
        <f>[1]o!AE80</f>
        <v>pilört</v>
      </c>
    </row>
    <row r="73" spans="1:15" s="4" customFormat="1" x14ac:dyDescent="0.25">
      <c r="A73" s="1"/>
      <c r="B73" s="3"/>
      <c r="C73" s="3"/>
      <c r="D73" s="3"/>
      <c r="E73" s="3"/>
      <c r="F73" s="3"/>
      <c r="G73" s="3"/>
      <c r="H73" s="3"/>
      <c r="I73" s="3"/>
      <c r="J73" s="3"/>
      <c r="K73" s="5"/>
      <c r="L73" s="5"/>
      <c r="M73" s="5"/>
      <c r="N73" s="5"/>
      <c r="O73" s="4" t="str">
        <f>[1]o!AE81</f>
        <v>pilört, bitter-</v>
      </c>
    </row>
    <row r="74" spans="1:15" s="4" customFormat="1" x14ac:dyDescent="0.25">
      <c r="A74" s="1"/>
      <c r="B74" s="3"/>
      <c r="C74" s="3"/>
      <c r="D74" s="3"/>
      <c r="E74" s="3"/>
      <c r="F74" s="3"/>
      <c r="G74" s="3"/>
      <c r="H74" s="3"/>
      <c r="I74" s="3"/>
      <c r="J74" s="3"/>
      <c r="K74" s="5"/>
      <c r="L74" s="5"/>
      <c r="M74" s="5"/>
      <c r="N74" s="5"/>
      <c r="O74" s="4" t="str">
        <f>[1]o!AE82</f>
        <v>pilört, vanlig</v>
      </c>
    </row>
    <row r="75" spans="1:15" s="4" customFormat="1" x14ac:dyDescent="0.25">
      <c r="A75" s="1"/>
      <c r="B75" s="3"/>
      <c r="C75" s="3"/>
      <c r="D75" s="3"/>
      <c r="E75" s="3"/>
      <c r="F75" s="3"/>
      <c r="G75" s="3"/>
      <c r="H75" s="3"/>
      <c r="I75" s="3"/>
      <c r="J75" s="3"/>
      <c r="K75" s="5"/>
      <c r="L75" s="5"/>
      <c r="M75" s="5"/>
      <c r="N75" s="5"/>
      <c r="O75" s="4" t="str">
        <f>[1]o!AE83</f>
        <v>pilört, vatten-</v>
      </c>
    </row>
    <row r="76" spans="1:15" s="4" customFormat="1" x14ac:dyDescent="0.25">
      <c r="A76" s="1"/>
      <c r="B76" s="3"/>
      <c r="C76" s="3"/>
      <c r="D76" s="3"/>
      <c r="E76" s="3"/>
      <c r="F76" s="3"/>
      <c r="G76" s="3"/>
      <c r="H76" s="3"/>
      <c r="I76" s="3"/>
      <c r="J76" s="3"/>
      <c r="K76" s="5"/>
      <c r="L76" s="5"/>
      <c r="M76" s="5"/>
      <c r="N76" s="5"/>
      <c r="O76" s="4" t="str">
        <f>[1]o!AE84</f>
        <v>pilört, åker-</v>
      </c>
    </row>
    <row r="77" spans="1:15" s="4" customFormat="1" x14ac:dyDescent="0.25">
      <c r="A77" s="1"/>
      <c r="B77" s="3"/>
      <c r="C77" s="3"/>
      <c r="D77" s="3"/>
      <c r="E77" s="3"/>
      <c r="F77" s="3"/>
      <c r="G77" s="3"/>
      <c r="H77" s="3"/>
      <c r="I77" s="3"/>
      <c r="J77" s="3"/>
      <c r="K77" s="5"/>
      <c r="L77" s="5"/>
      <c r="M77" s="5"/>
      <c r="N77" s="5"/>
      <c r="O77" s="4" t="str">
        <f>[1]o!AE85</f>
        <v>pipdån</v>
      </c>
    </row>
    <row r="78" spans="1:15" s="4" customFormat="1" x14ac:dyDescent="0.25">
      <c r="A78" s="1"/>
      <c r="B78" s="3"/>
      <c r="C78" s="3"/>
      <c r="D78" s="3"/>
      <c r="E78" s="3"/>
      <c r="F78" s="3"/>
      <c r="G78" s="3"/>
      <c r="H78" s="3"/>
      <c r="I78" s="3"/>
      <c r="J78" s="3"/>
      <c r="K78" s="5"/>
      <c r="L78" s="5"/>
      <c r="M78" s="5"/>
      <c r="N78" s="5"/>
      <c r="O78" s="4" t="str">
        <f>[1]o!AE86</f>
        <v>plister, flik-</v>
      </c>
    </row>
    <row r="79" spans="1:15" s="4" customFormat="1" x14ac:dyDescent="0.25">
      <c r="A79" s="1"/>
      <c r="B79" s="3"/>
      <c r="C79" s="3"/>
      <c r="D79" s="3"/>
      <c r="E79" s="3"/>
      <c r="F79" s="3"/>
      <c r="G79" s="3"/>
      <c r="H79" s="3"/>
      <c r="I79" s="3"/>
      <c r="J79" s="3"/>
      <c r="K79" s="5"/>
      <c r="L79" s="5"/>
      <c r="M79" s="5"/>
      <c r="N79" s="5"/>
      <c r="O79" s="4" t="str">
        <f>[1]o!AE87</f>
        <v>plister, mjuk-</v>
      </c>
    </row>
    <row r="80" spans="1:15" s="4" customFormat="1" x14ac:dyDescent="0.25">
      <c r="A80" s="1"/>
      <c r="B80" s="3"/>
      <c r="C80" s="3"/>
      <c r="D80" s="3"/>
      <c r="E80" s="3"/>
      <c r="F80" s="3"/>
      <c r="G80" s="3"/>
      <c r="H80" s="3"/>
      <c r="I80" s="3"/>
      <c r="J80" s="3"/>
      <c r="K80" s="5"/>
      <c r="L80" s="5"/>
      <c r="M80" s="5"/>
      <c r="N80" s="5"/>
      <c r="O80" s="4" t="str">
        <f>[1]o!AE88</f>
        <v>plister, röd-</v>
      </c>
    </row>
    <row r="81" spans="1:15" s="4" customFormat="1" x14ac:dyDescent="0.25">
      <c r="A81" s="1"/>
      <c r="B81" s="3"/>
      <c r="C81" s="3"/>
      <c r="D81" s="3"/>
      <c r="E81" s="3"/>
      <c r="F81" s="3"/>
      <c r="G81" s="3"/>
      <c r="H81" s="3"/>
      <c r="I81" s="3"/>
      <c r="J81" s="3"/>
      <c r="K81" s="5"/>
      <c r="L81" s="5"/>
      <c r="M81" s="5"/>
      <c r="N81" s="5"/>
      <c r="O81" s="4" t="str">
        <f>[1]o!AE89</f>
        <v>plister, vit-</v>
      </c>
    </row>
    <row r="82" spans="1:15" s="4" customFormat="1" x14ac:dyDescent="0.25">
      <c r="A82" s="1"/>
      <c r="B82" s="3"/>
      <c r="C82" s="3"/>
      <c r="D82" s="3"/>
      <c r="E82" s="3"/>
      <c r="F82" s="3"/>
      <c r="G82" s="3"/>
      <c r="H82" s="3"/>
      <c r="I82" s="3"/>
      <c r="J82" s="3"/>
      <c r="K82" s="5"/>
      <c r="L82" s="5"/>
      <c r="M82" s="5"/>
      <c r="N82" s="5"/>
      <c r="O82" s="4" t="str">
        <f>[1]o!AE90</f>
        <v>potatis</v>
      </c>
    </row>
    <row r="83" spans="1:15" s="4" customFormat="1" x14ac:dyDescent="0.25">
      <c r="A83" s="1"/>
      <c r="B83" s="3"/>
      <c r="C83" s="3"/>
      <c r="D83" s="3"/>
      <c r="E83" s="3"/>
      <c r="F83" s="3"/>
      <c r="G83" s="3"/>
      <c r="H83" s="3"/>
      <c r="I83" s="3"/>
      <c r="J83" s="3"/>
      <c r="K83" s="5"/>
      <c r="L83" s="5"/>
      <c r="M83" s="5"/>
      <c r="N83" s="5"/>
      <c r="O83" s="4" t="str">
        <f>[1]o!AE91</f>
        <v>rajgräs, engelskt-</v>
      </c>
    </row>
    <row r="84" spans="1:15" s="4" customFormat="1" x14ac:dyDescent="0.25">
      <c r="A84" s="1"/>
      <c r="B84" s="3"/>
      <c r="C84" s="3"/>
      <c r="D84" s="3"/>
      <c r="E84" s="3"/>
      <c r="F84" s="3"/>
      <c r="G84" s="3"/>
      <c r="H84" s="3"/>
      <c r="I84" s="3"/>
      <c r="J84" s="3"/>
      <c r="K84" s="5"/>
      <c r="L84" s="5"/>
      <c r="M84" s="5"/>
      <c r="N84" s="5"/>
      <c r="O84" s="4" t="str">
        <f>[1]o!AE92</f>
        <v>rajgräs, ital-</v>
      </c>
    </row>
    <row r="85" spans="1:15" s="4" customFormat="1" x14ac:dyDescent="0.25">
      <c r="A85" s="1"/>
      <c r="B85" s="3"/>
      <c r="C85" s="3"/>
      <c r="D85" s="3"/>
      <c r="E85" s="3"/>
      <c r="F85" s="3"/>
      <c r="G85" s="3"/>
      <c r="H85" s="3"/>
      <c r="I85" s="3"/>
      <c r="J85" s="3"/>
      <c r="K85" s="5"/>
      <c r="L85" s="5"/>
      <c r="M85" s="5"/>
      <c r="N85" s="5"/>
      <c r="O85" s="4" t="str">
        <f>[1]o!AE93</f>
        <v>raps, spill-</v>
      </c>
    </row>
    <row r="86" spans="1:15" s="4" customFormat="1" x14ac:dyDescent="0.25">
      <c r="A86" s="1"/>
      <c r="B86" s="3"/>
      <c r="C86" s="3"/>
      <c r="D86" s="3"/>
      <c r="E86" s="3"/>
      <c r="F86" s="3"/>
      <c r="G86" s="3"/>
      <c r="H86" s="3"/>
      <c r="I86" s="3"/>
      <c r="J86" s="3"/>
      <c r="K86" s="5"/>
      <c r="L86" s="5"/>
      <c r="M86" s="5"/>
      <c r="N86" s="5"/>
      <c r="O86" s="4" t="str">
        <f>[1]o!AE94</f>
        <v>renkavle</v>
      </c>
    </row>
    <row r="87" spans="1:15" s="4" customFormat="1" x14ac:dyDescent="0.25">
      <c r="A87" s="1"/>
      <c r="B87" s="3"/>
      <c r="C87" s="3"/>
      <c r="D87" s="3"/>
      <c r="E87" s="3"/>
      <c r="F87" s="3"/>
      <c r="G87" s="3"/>
      <c r="H87" s="3"/>
      <c r="I87" s="3"/>
      <c r="J87" s="3"/>
      <c r="K87" s="5"/>
      <c r="L87" s="5"/>
      <c r="M87" s="5"/>
      <c r="N87" s="5"/>
      <c r="O87" s="4" t="str">
        <f>[1]o!AE95</f>
        <v>revormstörel</v>
      </c>
    </row>
    <row r="88" spans="1:15" s="4" customFormat="1" x14ac:dyDescent="0.25">
      <c r="A88" s="1"/>
      <c r="B88" s="3"/>
      <c r="C88" s="3"/>
      <c r="D88" s="3"/>
      <c r="E88" s="3"/>
      <c r="F88" s="3"/>
      <c r="G88" s="3"/>
      <c r="H88" s="3"/>
      <c r="I88" s="3"/>
      <c r="J88" s="3"/>
      <c r="K88" s="5"/>
      <c r="L88" s="5"/>
      <c r="M88" s="5"/>
      <c r="N88" s="5"/>
      <c r="O88" s="4" t="str">
        <f>[1]o!AE96</f>
        <v>rågvallmo</v>
      </c>
    </row>
    <row r="89" spans="1:15" s="4" customFormat="1" x14ac:dyDescent="0.25">
      <c r="A89" s="1"/>
      <c r="B89" s="3"/>
      <c r="C89" s="3"/>
      <c r="D89" s="3"/>
      <c r="E89" s="3"/>
      <c r="F89" s="3"/>
      <c r="G89" s="3"/>
      <c r="H89" s="3"/>
      <c r="I89" s="3"/>
      <c r="J89" s="3"/>
      <c r="K89" s="5"/>
      <c r="L89" s="5"/>
      <c r="M89" s="5"/>
      <c r="N89" s="5"/>
      <c r="O89" s="4" t="str">
        <f>[1]o!AE97</f>
        <v>rättika, åker-</v>
      </c>
    </row>
    <row r="90" spans="1:15" s="4" customFormat="1" x14ac:dyDescent="0.25">
      <c r="A90" s="1"/>
      <c r="B90" s="3"/>
      <c r="C90" s="3"/>
      <c r="D90" s="3"/>
      <c r="E90" s="3"/>
      <c r="F90" s="3"/>
      <c r="G90" s="3"/>
      <c r="H90" s="3"/>
      <c r="I90" s="3"/>
      <c r="J90" s="3"/>
      <c r="K90" s="5"/>
      <c r="L90" s="5"/>
      <c r="M90" s="5"/>
      <c r="N90" s="5"/>
      <c r="O90" s="4" t="str">
        <f>[1]o!AE98</f>
        <v>rävtörel</v>
      </c>
    </row>
    <row r="91" spans="1:15" s="4" customFormat="1" x14ac:dyDescent="0.25">
      <c r="A91" s="1"/>
      <c r="B91" s="3"/>
      <c r="C91" s="3"/>
      <c r="D91" s="3"/>
      <c r="E91" s="3"/>
      <c r="F91" s="3"/>
      <c r="G91" s="3"/>
      <c r="H91" s="3"/>
      <c r="I91" s="3"/>
      <c r="J91" s="3"/>
      <c r="K91" s="5"/>
      <c r="L91" s="5"/>
      <c r="M91" s="5"/>
      <c r="N91" s="5"/>
      <c r="O91" s="4" t="str">
        <f>[1]o!AE99</f>
        <v>rödarv</v>
      </c>
    </row>
    <row r="92" spans="1:15" s="4" customFormat="1" x14ac:dyDescent="0.25">
      <c r="A92" s="1"/>
      <c r="B92" s="3"/>
      <c r="C92" s="3"/>
      <c r="D92" s="3"/>
      <c r="E92" s="3"/>
      <c r="F92" s="3"/>
      <c r="G92" s="3"/>
      <c r="H92" s="3"/>
      <c r="I92" s="3"/>
      <c r="J92" s="3"/>
      <c r="K92" s="5"/>
      <c r="L92" s="5"/>
      <c r="M92" s="5"/>
      <c r="N92" s="5"/>
      <c r="O92" s="4" t="str">
        <f>[1]o!AE100</f>
        <v>rödkämpar</v>
      </c>
    </row>
    <row r="93" spans="1:15" s="4" customFormat="1" x14ac:dyDescent="0.25">
      <c r="A93" s="1"/>
      <c r="B93" s="3"/>
      <c r="C93" s="3"/>
      <c r="D93" s="3"/>
      <c r="E93" s="3"/>
      <c r="F93" s="3"/>
      <c r="G93" s="3"/>
      <c r="H93" s="3"/>
      <c r="I93" s="3"/>
      <c r="J93" s="3"/>
      <c r="K93" s="5"/>
      <c r="L93" s="5"/>
      <c r="M93" s="5"/>
      <c r="N93" s="5"/>
      <c r="O93" s="4" t="str">
        <f>[1]o!AE101</f>
        <v>rödplister</v>
      </c>
    </row>
    <row r="94" spans="1:15" s="4" customFormat="1" x14ac:dyDescent="0.25">
      <c r="A94" s="1"/>
      <c r="B94" s="3"/>
      <c r="C94" s="3"/>
      <c r="D94" s="3"/>
      <c r="E94" s="3"/>
      <c r="F94" s="3"/>
      <c r="G94" s="3"/>
      <c r="H94" s="3"/>
      <c r="I94" s="3"/>
      <c r="J94" s="3"/>
      <c r="K94" s="5"/>
      <c r="L94" s="5"/>
      <c r="M94" s="5"/>
      <c r="N94" s="5"/>
      <c r="O94" s="4" t="str">
        <f>[1]o!AE102</f>
        <v>sandtrav</v>
      </c>
    </row>
    <row r="95" spans="1:15" s="4" customFormat="1" x14ac:dyDescent="0.25">
      <c r="A95" s="1"/>
      <c r="B95" s="3"/>
      <c r="C95" s="3"/>
      <c r="D95" s="3"/>
      <c r="E95" s="3"/>
      <c r="F95" s="3"/>
      <c r="G95" s="3"/>
      <c r="H95" s="3"/>
      <c r="I95" s="3"/>
      <c r="J95" s="3"/>
      <c r="K95" s="5"/>
      <c r="L95" s="5"/>
      <c r="M95" s="5"/>
      <c r="N95" s="5"/>
      <c r="O95" s="4" t="str">
        <f>[1]o!AE103</f>
        <v>senap, väg-</v>
      </c>
    </row>
    <row r="96" spans="1:15" s="4" customFormat="1" x14ac:dyDescent="0.25">
      <c r="A96" s="1"/>
      <c r="B96" s="3"/>
      <c r="C96" s="3"/>
      <c r="D96" s="3"/>
      <c r="E96" s="3"/>
      <c r="F96" s="3"/>
      <c r="G96" s="3"/>
      <c r="H96" s="3"/>
      <c r="I96" s="3"/>
      <c r="J96" s="3"/>
      <c r="K96" s="5"/>
      <c r="L96" s="5"/>
      <c r="M96" s="5"/>
      <c r="N96" s="5"/>
      <c r="O96" s="4" t="str">
        <f>[1]o!AE104</f>
        <v>senap, åker-</v>
      </c>
    </row>
    <row r="97" spans="1:20" s="4" customFormat="1" x14ac:dyDescent="0.25">
      <c r="A97" s="1"/>
      <c r="B97" s="3"/>
      <c r="C97" s="3"/>
      <c r="D97" s="3"/>
      <c r="E97" s="3"/>
      <c r="F97" s="3"/>
      <c r="G97" s="3"/>
      <c r="H97" s="3"/>
      <c r="I97" s="3"/>
      <c r="J97" s="3"/>
      <c r="K97" s="5"/>
      <c r="L97" s="5"/>
      <c r="M97" s="5"/>
      <c r="N97" s="5"/>
      <c r="O97" s="4" t="str">
        <f>[1]o!AE105</f>
        <v>skatnäva</v>
      </c>
    </row>
    <row r="98" spans="1:20" s="4" customFormat="1" x14ac:dyDescent="0.25">
      <c r="A98" s="1"/>
      <c r="B98" s="3"/>
      <c r="C98" s="3"/>
      <c r="D98" s="3"/>
      <c r="E98" s="3"/>
      <c r="F98" s="3"/>
      <c r="G98" s="3"/>
      <c r="H98" s="3"/>
      <c r="I98" s="3"/>
      <c r="J98" s="3"/>
      <c r="K98" s="5"/>
      <c r="L98" s="5"/>
      <c r="M98" s="5"/>
      <c r="N98" s="5"/>
      <c r="O98" s="4" t="str">
        <f>[1]o!AE106</f>
        <v>snärjmåra</v>
      </c>
    </row>
    <row r="99" spans="1:20" s="4" customFormat="1" x14ac:dyDescent="0.25">
      <c r="A99" s="1"/>
      <c r="B99" s="3"/>
      <c r="C99" s="3"/>
      <c r="D99" s="3"/>
      <c r="E99" s="3"/>
      <c r="F99" s="3"/>
      <c r="G99" s="3"/>
      <c r="H99" s="3"/>
      <c r="I99" s="3"/>
      <c r="J99" s="3"/>
      <c r="K99" s="5"/>
      <c r="L99" s="5"/>
      <c r="M99" s="5"/>
      <c r="N99" s="5"/>
      <c r="O99" s="4" t="str">
        <f>[1]o!AE107</f>
        <v>sommargyllen</v>
      </c>
    </row>
    <row r="100" spans="1:20" x14ac:dyDescent="0.25">
      <c r="K100" s="5"/>
      <c r="L100" s="5"/>
      <c r="M100" s="5"/>
      <c r="N100" s="5"/>
      <c r="O100" s="4" t="str">
        <f>[1]o!AE108</f>
        <v>sparvnäva</v>
      </c>
      <c r="P100" s="4"/>
      <c r="Q100" s="4"/>
      <c r="R100" s="4"/>
      <c r="S100" s="4"/>
      <c r="T100" s="4"/>
    </row>
    <row r="101" spans="1:20" x14ac:dyDescent="0.25">
      <c r="K101" s="5"/>
      <c r="L101" s="5"/>
      <c r="M101" s="5"/>
      <c r="N101" s="5"/>
      <c r="O101" s="4" t="str">
        <f>[1]o!AE109</f>
        <v>spillhavre</v>
      </c>
      <c r="P101" s="4"/>
      <c r="Q101" s="4"/>
      <c r="R101" s="4"/>
      <c r="S101" s="4"/>
    </row>
    <row r="102" spans="1:20" x14ac:dyDescent="0.25">
      <c r="K102" s="5"/>
      <c r="L102" s="5"/>
      <c r="M102" s="5"/>
      <c r="N102" s="5"/>
      <c r="O102" s="4" t="str">
        <f>[1]o!AE110</f>
        <v>spillkorn</v>
      </c>
      <c r="P102" s="4"/>
      <c r="Q102" s="4"/>
      <c r="R102" s="4"/>
    </row>
    <row r="103" spans="1:20" x14ac:dyDescent="0.25">
      <c r="K103" s="5"/>
      <c r="L103" s="5"/>
      <c r="M103" s="5"/>
      <c r="N103" s="5"/>
      <c r="O103" s="4" t="str">
        <f>[1]o!AE111</f>
        <v>spillraps</v>
      </c>
    </row>
    <row r="104" spans="1:20" x14ac:dyDescent="0.25">
      <c r="K104" s="5"/>
      <c r="L104" s="5"/>
      <c r="M104" s="5"/>
      <c r="N104" s="5"/>
      <c r="O104" s="4" t="str">
        <f>[1]o!AE112</f>
        <v>stinknäva</v>
      </c>
    </row>
    <row r="105" spans="1:20" x14ac:dyDescent="0.25">
      <c r="K105" s="5"/>
      <c r="L105" s="5"/>
      <c r="M105" s="5"/>
      <c r="N105" s="5"/>
      <c r="O105" s="4" t="str">
        <f>[1]o!AE113</f>
        <v>styvmorsviol</v>
      </c>
    </row>
    <row r="106" spans="1:20" x14ac:dyDescent="0.25">
      <c r="K106" s="5"/>
      <c r="L106" s="5"/>
      <c r="M106" s="5"/>
      <c r="N106" s="5"/>
      <c r="O106" s="4" t="str">
        <f>[1]o!AE114</f>
        <v>svartkämpar</v>
      </c>
    </row>
    <row r="107" spans="1:20" x14ac:dyDescent="0.25">
      <c r="K107" s="5"/>
      <c r="L107" s="5"/>
      <c r="M107" s="5"/>
      <c r="N107" s="5"/>
      <c r="O107" s="4" t="str">
        <f>[1]o!AE115</f>
        <v>svinmålla</v>
      </c>
    </row>
    <row r="108" spans="1:20" x14ac:dyDescent="0.25">
      <c r="K108" s="5"/>
      <c r="L108" s="5"/>
      <c r="M108" s="5"/>
      <c r="N108" s="5"/>
      <c r="O108" s="4" t="str">
        <f>[1]o!AE116</f>
        <v>syska, knöl-</v>
      </c>
    </row>
    <row r="109" spans="1:20" x14ac:dyDescent="0.25">
      <c r="K109" s="5"/>
      <c r="L109" s="5"/>
      <c r="M109" s="5"/>
      <c r="N109" s="5"/>
      <c r="O109" s="4" t="str">
        <f>[1]o!AE117</f>
        <v>tistel, väg-</v>
      </c>
    </row>
    <row r="110" spans="1:20" x14ac:dyDescent="0.25">
      <c r="K110" s="5"/>
      <c r="L110" s="5"/>
      <c r="M110" s="5"/>
      <c r="N110" s="5"/>
      <c r="O110" s="4" t="str">
        <f>[1]o!AE118</f>
        <v>tistel, åker-</v>
      </c>
    </row>
    <row r="111" spans="1:20" x14ac:dyDescent="0.25">
      <c r="K111" s="5"/>
      <c r="L111" s="5"/>
      <c r="M111" s="5"/>
      <c r="N111" s="5"/>
      <c r="O111" s="4" t="str">
        <f>[1]o!AE119</f>
        <v>toppdån</v>
      </c>
    </row>
    <row r="112" spans="1:20" x14ac:dyDescent="0.25">
      <c r="K112" s="5"/>
      <c r="L112" s="5"/>
      <c r="M112" s="5"/>
      <c r="N112" s="5"/>
      <c r="O112" s="4" t="str">
        <f>[1]o!AE120</f>
        <v>trampört</v>
      </c>
    </row>
    <row r="113" spans="11:15" x14ac:dyDescent="0.25">
      <c r="K113" s="5"/>
      <c r="L113" s="5"/>
      <c r="M113" s="5"/>
      <c r="N113" s="5"/>
      <c r="O113" s="4" t="str">
        <f>[1]o!AE121</f>
        <v>trav, sand-</v>
      </c>
    </row>
    <row r="114" spans="11:15" x14ac:dyDescent="0.25">
      <c r="K114" s="5"/>
      <c r="L114" s="5"/>
      <c r="M114" s="5"/>
      <c r="N114" s="5"/>
      <c r="O114" s="4" t="str">
        <f>[1]o!AE122</f>
        <v>tvåhjbl arter</v>
      </c>
    </row>
    <row r="115" spans="11:15" x14ac:dyDescent="0.25">
      <c r="K115" s="5"/>
      <c r="L115" s="5"/>
      <c r="M115" s="5"/>
      <c r="N115" s="5"/>
      <c r="O115" s="4" t="str">
        <f>[1]o!AE123</f>
        <v>törel, revorms-</v>
      </c>
    </row>
    <row r="116" spans="11:15" x14ac:dyDescent="0.25">
      <c r="K116" s="5"/>
      <c r="L116" s="5"/>
      <c r="M116" s="5"/>
      <c r="N116" s="5"/>
      <c r="O116" s="4" t="str">
        <f>[1]o!AE124</f>
        <v>törel, räv-</v>
      </c>
    </row>
    <row r="117" spans="11:15" x14ac:dyDescent="0.25">
      <c r="K117" s="5"/>
      <c r="L117" s="5"/>
      <c r="M117" s="5"/>
      <c r="N117" s="5"/>
      <c r="O117" s="4" t="str">
        <f>[1]o!AE125</f>
        <v>vallmo</v>
      </c>
    </row>
    <row r="118" spans="11:15" x14ac:dyDescent="0.25">
      <c r="K118" s="5"/>
      <c r="L118" s="5"/>
      <c r="M118" s="5"/>
      <c r="N118" s="5"/>
      <c r="O118" s="4" t="str">
        <f>[1]o!AE126</f>
        <v>vallmo, korn-</v>
      </c>
    </row>
    <row r="119" spans="11:15" x14ac:dyDescent="0.25">
      <c r="O119" s="4" t="str">
        <f>[1]o!AE127</f>
        <v>vallmo, råg-</v>
      </c>
    </row>
    <row r="120" spans="11:15" x14ac:dyDescent="0.25">
      <c r="O120" s="4" t="str">
        <f>[1]o!AE128</f>
        <v>vanlig kamomill</v>
      </c>
    </row>
    <row r="121" spans="11:15" x14ac:dyDescent="0.25">
      <c r="O121" s="4" t="str">
        <f>[1]o!AE129</f>
        <v>vanlig pilört</v>
      </c>
    </row>
    <row r="122" spans="11:15" x14ac:dyDescent="0.25">
      <c r="O122" s="4" t="str">
        <f>[1]o!AE130</f>
        <v>vattenpilört</v>
      </c>
    </row>
    <row r="123" spans="11:15" x14ac:dyDescent="0.25">
      <c r="O123" s="4" t="str">
        <f>[1]o!AE131</f>
        <v>ven, åker-</v>
      </c>
    </row>
    <row r="124" spans="11:15" x14ac:dyDescent="0.25">
      <c r="O124" s="4" t="str">
        <f>[1]o!AE132</f>
        <v>veronika</v>
      </c>
    </row>
    <row r="125" spans="11:15" x14ac:dyDescent="0.25">
      <c r="O125" s="4" t="str">
        <f>[1]o!AE133</f>
        <v>veronika, fält-</v>
      </c>
    </row>
    <row r="126" spans="11:15" x14ac:dyDescent="0.25">
      <c r="O126" s="4" t="str">
        <f>[1]o!AE134</f>
        <v>veronika, maj-</v>
      </c>
    </row>
    <row r="127" spans="11:15" x14ac:dyDescent="0.25">
      <c r="O127" s="4" t="str">
        <f>[1]o!AE135</f>
        <v>veronika, murgröns-</v>
      </c>
    </row>
    <row r="128" spans="11:15" x14ac:dyDescent="0.25">
      <c r="O128" s="4" t="str">
        <f>[1]o!AE136</f>
        <v>veronika, åker-</v>
      </c>
    </row>
    <row r="129" spans="15:15" x14ac:dyDescent="0.25">
      <c r="O129" s="4" t="str">
        <f>[1]o!AE137</f>
        <v>vete, spill-</v>
      </c>
    </row>
    <row r="130" spans="15:15" x14ac:dyDescent="0.25">
      <c r="O130" s="4" t="str">
        <f>[1]o!AE138</f>
        <v>viol, styvmors-</v>
      </c>
    </row>
    <row r="131" spans="15:15" x14ac:dyDescent="0.25">
      <c r="O131" s="4" t="str">
        <f>[1]o!AE139</f>
        <v>viol, åker-</v>
      </c>
    </row>
    <row r="132" spans="15:15" x14ac:dyDescent="0.25">
      <c r="O132" s="4" t="str">
        <f>[1]o!AE140</f>
        <v>vitgröe</v>
      </c>
    </row>
    <row r="133" spans="15:15" x14ac:dyDescent="0.25">
      <c r="O133" s="4" t="str">
        <f>[1]o!AE141</f>
        <v>vitplister</v>
      </c>
    </row>
    <row r="134" spans="15:15" x14ac:dyDescent="0.25">
      <c r="O134" s="4" t="str">
        <f>[1]o!AE142</f>
        <v>våtarv</v>
      </c>
    </row>
    <row r="135" spans="15:15" x14ac:dyDescent="0.25">
      <c r="O135" s="4" t="str">
        <f>[1]o!AE143</f>
        <v>vägmålla</v>
      </c>
    </row>
    <row r="136" spans="15:15" x14ac:dyDescent="0.25">
      <c r="O136" s="4" t="str">
        <f>[1]o!AE144</f>
        <v>vägsenap</v>
      </c>
    </row>
    <row r="137" spans="15:15" x14ac:dyDescent="0.25">
      <c r="O137" s="4" t="str">
        <f>[1]o!AE145</f>
        <v>vägtistel</v>
      </c>
    </row>
    <row r="138" spans="15:15" x14ac:dyDescent="0.25">
      <c r="O138" s="4" t="str">
        <f>[1]o!AE146</f>
        <v>åkerbinda</v>
      </c>
    </row>
    <row r="139" spans="15:15" x14ac:dyDescent="0.25">
      <c r="O139" s="4" t="str">
        <f>[1]o!AE147</f>
        <v>åkerfräken</v>
      </c>
    </row>
    <row r="140" spans="15:15" x14ac:dyDescent="0.25">
      <c r="O140" s="4" t="str">
        <f>[1]o!AE148</f>
        <v>åkerförgätmigej</v>
      </c>
    </row>
    <row r="141" spans="15:15" x14ac:dyDescent="0.25">
      <c r="O141" s="4" t="str">
        <f>[1]o!AE149</f>
        <v>åkergyllen</v>
      </c>
    </row>
    <row r="142" spans="15:15" x14ac:dyDescent="0.25">
      <c r="O142" s="4" t="str">
        <f>[1]o!AE150</f>
        <v>åkerkål</v>
      </c>
    </row>
    <row r="143" spans="15:15" x14ac:dyDescent="0.25">
      <c r="O143" s="4" t="str">
        <f>[1]o!AE151</f>
        <v>åkermolke</v>
      </c>
    </row>
    <row r="144" spans="15:15" x14ac:dyDescent="0.25">
      <c r="O144" s="4" t="str">
        <f>[1]o!AE152</f>
        <v>åkerpilört</v>
      </c>
    </row>
    <row r="145" spans="15:15" x14ac:dyDescent="0.25">
      <c r="O145" s="4" t="str">
        <f>[1]o!AE153</f>
        <v>åkerrättika</v>
      </c>
    </row>
    <row r="146" spans="15:15" x14ac:dyDescent="0.25">
      <c r="O146" s="4" t="str">
        <f>[1]o!AE154</f>
        <v>åkersenap</v>
      </c>
    </row>
    <row r="147" spans="15:15" x14ac:dyDescent="0.25">
      <c r="O147" s="4" t="str">
        <f>[1]o!AE155</f>
        <v>åkertistel</v>
      </c>
    </row>
    <row r="148" spans="15:15" x14ac:dyDescent="0.25">
      <c r="O148" s="4" t="str">
        <f>[1]o!AE156</f>
        <v>åkerven</v>
      </c>
    </row>
    <row r="149" spans="15:15" x14ac:dyDescent="0.25">
      <c r="O149" s="4" t="str">
        <f>[1]o!AE157</f>
        <v>åkerveronika</v>
      </c>
    </row>
    <row r="150" spans="15:15" x14ac:dyDescent="0.25">
      <c r="O150" s="4" t="str">
        <f>[1]o!AE158</f>
        <v>åkervinda</v>
      </c>
    </row>
    <row r="151" spans="15:15" x14ac:dyDescent="0.25">
      <c r="O151" s="4" t="str">
        <f>[1]o!AE159</f>
        <v>åkerviol</v>
      </c>
    </row>
    <row r="152" spans="15:15" x14ac:dyDescent="0.25">
      <c r="O152" s="4"/>
    </row>
    <row r="153" spans="15:15" x14ac:dyDescent="0.25">
      <c r="O153" s="4"/>
    </row>
    <row r="154" spans="15:15" x14ac:dyDescent="0.25">
      <c r="O154" s="4"/>
    </row>
    <row r="155" spans="15:15" x14ac:dyDescent="0.25">
      <c r="O155" s="4"/>
    </row>
    <row r="156" spans="15:15" x14ac:dyDescent="0.25">
      <c r="O156" s="4"/>
    </row>
    <row r="157" spans="15:15" x14ac:dyDescent="0.25">
      <c r="O157" s="4"/>
    </row>
    <row r="158" spans="15:15" x14ac:dyDescent="0.25">
      <c r="O158" s="4"/>
    </row>
    <row r="159" spans="15:15" x14ac:dyDescent="0.25">
      <c r="O159" s="4"/>
    </row>
    <row r="160" spans="15:15" x14ac:dyDescent="0.25">
      <c r="O160" s="4"/>
    </row>
  </sheetData>
  <mergeCells count="6">
    <mergeCell ref="G1:J1"/>
    <mergeCell ref="B14:J15"/>
    <mergeCell ref="C56:D56"/>
    <mergeCell ref="B57:B58"/>
    <mergeCell ref="C57:D58"/>
    <mergeCell ref="F57:J58"/>
  </mergeCells>
  <conditionalFormatting sqref="B57:D58">
    <cfRule type="notContainsBlanks" dxfId="71" priority="36">
      <formula>LEN(TRIM(B57))&gt;0</formula>
    </cfRule>
  </conditionalFormatting>
  <conditionalFormatting sqref="B16:J20">
    <cfRule type="expression" dxfId="70" priority="32">
      <formula>IF($A$20=1,1,0)</formula>
    </cfRule>
  </conditionalFormatting>
  <conditionalFormatting sqref="B21:J25">
    <cfRule type="expression" dxfId="69" priority="28">
      <formula>IF($A$25=1,1,0)</formula>
    </cfRule>
  </conditionalFormatting>
  <conditionalFormatting sqref="B26:J30">
    <cfRule type="expression" dxfId="68" priority="24">
      <formula>IF($A$30=1,1,0)</formula>
    </cfRule>
  </conditionalFormatting>
  <conditionalFormatting sqref="B31:J35">
    <cfRule type="expression" dxfId="67" priority="20">
      <formula>IF($A$35=1,1,0)</formula>
    </cfRule>
  </conditionalFormatting>
  <conditionalFormatting sqref="B36:J40">
    <cfRule type="expression" dxfId="66" priority="16">
      <formula>IF($A$40=1,1,0)</formula>
    </cfRule>
  </conditionalFormatting>
  <conditionalFormatting sqref="B41:J45">
    <cfRule type="expression" dxfId="65" priority="12">
      <formula>IF($A$45=1,1,0)</formula>
    </cfRule>
  </conditionalFormatting>
  <conditionalFormatting sqref="B46:J50">
    <cfRule type="expression" dxfId="64" priority="8">
      <formula>IF($A$50=1,1,0)</formula>
    </cfRule>
  </conditionalFormatting>
  <conditionalFormatting sqref="B51:J55">
    <cfRule type="expression" dxfId="63" priority="4">
      <formula>IF($A$55=1,1,0)</formula>
    </cfRule>
  </conditionalFormatting>
  <conditionalFormatting sqref="D16 C18:D20">
    <cfRule type="expression" dxfId="62" priority="35">
      <formula>IF(AND($A$16=1,$A$17=1),1,0)</formula>
    </cfRule>
  </conditionalFormatting>
  <conditionalFormatting sqref="D21 C23:D25">
    <cfRule type="expression" dxfId="61" priority="31">
      <formula>IF(AND($A$21=1,$A$22=1),1,0)</formula>
    </cfRule>
  </conditionalFormatting>
  <conditionalFormatting sqref="D26 C28:D30">
    <cfRule type="expression" dxfId="60" priority="27">
      <formula>IF(AND($A$26=1,$A$27=1),1,0)</formula>
    </cfRule>
  </conditionalFormatting>
  <conditionalFormatting sqref="D31 C33:D35">
    <cfRule type="expression" dxfId="59" priority="23">
      <formula>IF(AND($A$31=1,$A$32=1),1,0)</formula>
    </cfRule>
  </conditionalFormatting>
  <conditionalFormatting sqref="D36 C38:D40">
    <cfRule type="expression" dxfId="58" priority="19">
      <formula>IF(AND($A$36=1,$A$37=1),1,0)</formula>
    </cfRule>
  </conditionalFormatting>
  <conditionalFormatting sqref="D41 C43:D45">
    <cfRule type="expression" dxfId="57" priority="15">
      <formula>IF(AND($A$41=1,$A$42=1),1,0)</formula>
    </cfRule>
  </conditionalFormatting>
  <conditionalFormatting sqref="D46 C48:D50">
    <cfRule type="expression" dxfId="56" priority="11">
      <formula>IF(AND($A$46=1,$A$47=1),1,0)</formula>
    </cfRule>
  </conditionalFormatting>
  <conditionalFormatting sqref="D51 C53:D55">
    <cfRule type="expression" dxfId="55" priority="7">
      <formula>IF(AND($A$51=1,$A$52=1),1,0)</formula>
    </cfRule>
  </conditionalFormatting>
  <conditionalFormatting sqref="F17:I20">
    <cfRule type="expression" dxfId="54" priority="33">
      <formula>IF(AND($A$16=1,$A$19=1),1,0)</formula>
    </cfRule>
  </conditionalFormatting>
  <conditionalFormatting sqref="F22:I25">
    <cfRule type="expression" dxfId="53" priority="29">
      <formula>IF(AND($A$21=1,$A$24=1),1,0)</formula>
    </cfRule>
  </conditionalFormatting>
  <conditionalFormatting sqref="F27:I30">
    <cfRule type="expression" dxfId="52" priority="25">
      <formula>IF(AND($A$26=1,$A$29=1),1,0)</formula>
    </cfRule>
  </conditionalFormatting>
  <conditionalFormatting sqref="F32:I35">
    <cfRule type="expression" dxfId="51" priority="21">
      <formula>IF(AND($A$31=1,$A$34=1),1,0)</formula>
    </cfRule>
  </conditionalFormatting>
  <conditionalFormatting sqref="F37:I40">
    <cfRule type="expression" dxfId="50" priority="17">
      <formula>IF(AND($A$36=1,$A$39=1),1,0)</formula>
    </cfRule>
  </conditionalFormatting>
  <conditionalFormatting sqref="F42:I45">
    <cfRule type="expression" dxfId="49" priority="13">
      <formula>IF(AND($A$41=1,$A$44=1),1,0)</formula>
    </cfRule>
  </conditionalFormatting>
  <conditionalFormatting sqref="F47:I50">
    <cfRule type="expression" dxfId="48" priority="9">
      <formula>IF(AND($A$46=1,$A$49=1),1,0)</formula>
    </cfRule>
  </conditionalFormatting>
  <conditionalFormatting sqref="F52:I55">
    <cfRule type="expression" dxfId="47" priority="5">
      <formula>IF(AND($A$51=1,$A$54=1),1,0)</formula>
    </cfRule>
  </conditionalFormatting>
  <conditionalFormatting sqref="G1:J1">
    <cfRule type="expression" dxfId="46" priority="2">
      <formula>IF(A1=1000,1,0)</formula>
    </cfRule>
    <cfRule type="expression" dxfId="45" priority="3">
      <formula>IF(A1=0,1,0)</formula>
    </cfRule>
    <cfRule type="containsBlanks" dxfId="44" priority="1" stopIfTrue="1">
      <formula>LEN(TRIM(G1))=0</formula>
    </cfRule>
  </conditionalFormatting>
  <conditionalFormatting sqref="J17:J20">
    <cfRule type="expression" dxfId="43" priority="34">
      <formula>IF(AND($A$16=1,$A$18=1),1,0)</formula>
    </cfRule>
  </conditionalFormatting>
  <conditionalFormatting sqref="J22:J25">
    <cfRule type="expression" dxfId="42" priority="30">
      <formula>IF(AND($A$21=1,$A$23=1),1,0)</formula>
    </cfRule>
  </conditionalFormatting>
  <conditionalFormatting sqref="J27:J30">
    <cfRule type="expression" dxfId="41" priority="26">
      <formula>IF(AND($A$26=1,$A$28=1),1,0)</formula>
    </cfRule>
  </conditionalFormatting>
  <conditionalFormatting sqref="J32:J35">
    <cfRule type="expression" dxfId="40" priority="22">
      <formula>IF(AND($A$31=1,$A$33=1),1,0)</formula>
    </cfRule>
  </conditionalFormatting>
  <conditionalFormatting sqref="J37:J40">
    <cfRule type="expression" dxfId="39" priority="18">
      <formula>IF(AND($A$36=1,$A$38=1),1,0)</formula>
    </cfRule>
  </conditionalFormatting>
  <conditionalFormatting sqref="J42:J45">
    <cfRule type="expression" dxfId="38" priority="14">
      <formula>IF(AND($A$41=1,$A$43=1),1,0)</formula>
    </cfRule>
  </conditionalFormatting>
  <conditionalFormatting sqref="J47:J50">
    <cfRule type="expression" dxfId="37" priority="10">
      <formula>IF(AND($A$46=1,$A$48=1),1,0)</formula>
    </cfRule>
  </conditionalFormatting>
  <conditionalFormatting sqref="J52:J55">
    <cfRule type="expression" dxfId="36" priority="6">
      <formula>IF(AND($A$51=1,$A$53=1),1,0)</formula>
    </cfRule>
  </conditionalFormatting>
  <dataValidations count="1">
    <dataValidation type="list" allowBlank="1" showInputMessage="1" showErrorMessage="1" sqref="B17 B22 B27 B32 B37 B42 B47 B52">
      <formula1>$O$2:$O$151</formula1>
    </dataValidation>
  </dataValidations>
  <pageMargins left="0.55118110236220474" right="0.19685039370078741" top="0.39370078740157483" bottom="0.15748031496062992" header="0.19685039370078741" footer="0.27559055118110237"/>
  <pageSetup paperSize="9" orientation="portrait" verticalDpi="1200" r:id="rId1"/>
  <headerFooter alignWithMargins="0">
    <oddHeader>&amp;L&amp;F  Flik 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FFFF"/>
  </sheetPr>
  <dimension ref="A1:CA160"/>
  <sheetViews>
    <sheetView topLeftCell="B1" zoomScale="130" zoomScaleNormal="130" workbookViewId="0">
      <selection activeCell="G62" sqref="G62"/>
    </sheetView>
  </sheetViews>
  <sheetFormatPr defaultColWidth="9.140625" defaultRowHeight="16.5" x14ac:dyDescent="0.25"/>
  <cols>
    <col min="1" max="1" width="10.28515625" style="1" hidden="1" customWidth="1"/>
    <col min="2" max="2" width="15.42578125" style="3" customWidth="1"/>
    <col min="3" max="3" width="12" style="3" customWidth="1"/>
    <col min="4" max="4" width="10.28515625" style="3" customWidth="1"/>
    <col min="5" max="5" width="9.140625" style="3"/>
    <col min="6" max="6" width="13.140625" style="3" customWidth="1"/>
    <col min="7" max="7" width="8.42578125" style="3" customWidth="1"/>
    <col min="8" max="9" width="9.28515625" style="3" customWidth="1"/>
    <col min="10" max="10" width="9" style="3" customWidth="1"/>
    <col min="11" max="14" width="7.7109375" style="2" hidden="1" customWidth="1"/>
    <col min="15" max="15" width="17.42578125" style="1" customWidth="1"/>
    <col min="16" max="16" width="5.7109375" style="1" customWidth="1"/>
    <col min="17" max="17" width="10.7109375" style="1" customWidth="1"/>
    <col min="18" max="18" width="14.85546875" style="1" customWidth="1"/>
    <col min="19" max="19" width="9.140625" style="1"/>
    <col min="20" max="20" width="13" style="1" customWidth="1"/>
    <col min="21" max="21" width="2.28515625" style="1" customWidth="1"/>
    <col min="22" max="22" width="0" style="1" hidden="1" customWidth="1"/>
    <col min="23" max="23" width="28.7109375" style="1" customWidth="1"/>
    <col min="24" max="16384" width="9.140625" style="1"/>
  </cols>
  <sheetData>
    <row r="1" spans="1:79" ht="18.75" customHeight="1" x14ac:dyDescent="0.25">
      <c r="A1" s="1">
        <f>SUM(A2:A9)+A58</f>
        <v>1000</v>
      </c>
      <c r="B1" s="61" t="str">
        <f ca="1">"Räkning av ogräs vid behandlingstillfälle "&amp;RIGHT(J2,1)</f>
        <v>Räkning av ogräs vid behandlingstillfälle 3</v>
      </c>
      <c r="C1" s="50"/>
      <c r="D1" s="50"/>
      <c r="E1" s="50"/>
      <c r="F1" s="50"/>
      <c r="G1" s="186" t="str">
        <f>IF(SUM(F17:J20)=0,"",IF(A1=0,"ALLT KLART",IF(L7=1,M7,IF(AND(SUM(A2:A9)=0,A1=1000),"Signera också!",""))))</f>
        <v/>
      </c>
      <c r="H1" s="186"/>
      <c r="I1" s="186"/>
      <c r="J1" s="187"/>
      <c r="Q1" s="60" t="s">
        <v>20</v>
      </c>
      <c r="R1" s="59"/>
      <c r="W1" s="58" t="s">
        <v>201</v>
      </c>
    </row>
    <row r="2" spans="1:79" ht="12.75" customHeight="1" x14ac:dyDescent="0.25">
      <c r="A2" s="1">
        <f>IF(OR(SUM(A16:A20)=5,N17=29),0,1)</f>
        <v>0</v>
      </c>
      <c r="B2" s="57"/>
      <c r="J2" s="56" t="str">
        <f ca="1">MID(CELL("filename",A1),FIND("]",CELL("filename",A1))+1,255)</f>
        <v>Ogräsräkning 3</v>
      </c>
      <c r="K2" s="5"/>
      <c r="L2" s="5">
        <f>COUNT(F17,F22,F27,F32,F37,F42,F47,F52)</f>
        <v>0</v>
      </c>
      <c r="M2" s="5"/>
      <c r="N2" s="5"/>
      <c r="O2" s="48">
        <f>W3</f>
        <v>0</v>
      </c>
      <c r="Q2" s="55" t="s">
        <v>202</v>
      </c>
      <c r="R2" s="54"/>
      <c r="S2" s="53" t="s">
        <v>203</v>
      </c>
      <c r="T2" s="52"/>
      <c r="W2" s="1" t="s">
        <v>204</v>
      </c>
    </row>
    <row r="3" spans="1:79" s="4" customFormat="1" ht="12.75" customHeight="1" x14ac:dyDescent="0.25">
      <c r="A3" s="1">
        <f>IF(OR(SUM(A21:A25)=5,N22=29),0,1)</f>
        <v>0</v>
      </c>
      <c r="B3" s="51" t="s">
        <v>205</v>
      </c>
      <c r="C3" s="50"/>
      <c r="D3" s="50"/>
      <c r="E3" s="50"/>
      <c r="F3" s="50"/>
      <c r="G3" s="50"/>
      <c r="H3" s="50"/>
      <c r="I3" s="50"/>
      <c r="J3" s="49"/>
      <c r="K3" s="5"/>
      <c r="L3" s="47">
        <f>SUM(A16,A21,A26,A31,A36,A41,A46,A51)</f>
        <v>0</v>
      </c>
      <c r="M3" s="5" t="str">
        <f>IF(L3&lt;L$2,"Åtminstone ogräsnamn ","")</f>
        <v/>
      </c>
      <c r="N3" s="5"/>
      <c r="O3" s="48">
        <f>W4</f>
        <v>0</v>
      </c>
      <c r="Q3" s="41" t="s">
        <v>58</v>
      </c>
      <c r="R3" s="37" t="s">
        <v>59</v>
      </c>
      <c r="S3" s="41" t="s">
        <v>58</v>
      </c>
      <c r="T3" s="37" t="s">
        <v>60</v>
      </c>
      <c r="W3" s="48"/>
    </row>
    <row r="4" spans="1:79" ht="12.75" customHeight="1" x14ac:dyDescent="0.25">
      <c r="A4" s="1">
        <f>IF(OR(SUM(A26:A30)=5,N27=29),0,1)</f>
        <v>0</v>
      </c>
      <c r="B4" s="44" t="s">
        <v>206</v>
      </c>
      <c r="J4" s="43"/>
      <c r="K4" s="5"/>
      <c r="L4" s="47">
        <f>SUM(A17,A22,A27,A32,A37,A42,A47,A52)</f>
        <v>0</v>
      </c>
      <c r="M4" s="5" t="str">
        <f>IF(AND(L4&lt;L$3,L4&lt;L$2),"utv.st/storlek ","")</f>
        <v/>
      </c>
      <c r="N4" s="5"/>
      <c r="O4" s="4" t="str">
        <f>[1]o!AE11</f>
        <v>annuella gräs</v>
      </c>
      <c r="Q4" s="38">
        <v>10</v>
      </c>
      <c r="R4" s="37" t="s">
        <v>65</v>
      </c>
      <c r="S4" s="38">
        <v>10</v>
      </c>
      <c r="T4" s="37" t="s">
        <v>66</v>
      </c>
      <c r="W4" s="48"/>
    </row>
    <row r="5" spans="1:79" ht="12.75" customHeight="1" x14ac:dyDescent="0.25">
      <c r="A5" s="1">
        <f>IF(OR(SUM(A31:A35)=5,N32=29),0,1)</f>
        <v>0</v>
      </c>
      <c r="B5" s="44" t="s">
        <v>207</v>
      </c>
      <c r="J5" s="43"/>
      <c r="K5" s="5"/>
      <c r="L5" s="47">
        <f>SUM(A18,A23,A28,A33,A38,A43,A48,A53)</f>
        <v>0</v>
      </c>
      <c r="M5" s="5" t="str">
        <f>IF(AND(L5&lt;L$3,L5&lt;L$2),"täckning ","")</f>
        <v/>
      </c>
      <c r="N5" s="5"/>
      <c r="O5" s="4" t="str">
        <f>[1]o!AE12</f>
        <v>arv, röd-</v>
      </c>
      <c r="Q5" s="38">
        <v>11</v>
      </c>
      <c r="R5" s="37" t="s">
        <v>72</v>
      </c>
      <c r="S5" s="38">
        <v>11</v>
      </c>
      <c r="T5" s="37" t="s">
        <v>73</v>
      </c>
    </row>
    <row r="6" spans="1:79" ht="12.75" customHeight="1" x14ac:dyDescent="0.25">
      <c r="A6" s="1">
        <f>IF(OR(SUM(A36:A40)=5,N37=29),0,1)</f>
        <v>0</v>
      </c>
      <c r="B6" s="44" t="s">
        <v>208</v>
      </c>
      <c r="J6" s="43"/>
      <c r="K6" s="5"/>
      <c r="L6" s="47">
        <f>SUM(A19,A24,A29,A34,A39,A44,A49,A54)</f>
        <v>0</v>
      </c>
      <c r="M6" s="5" t="str">
        <f>IF(AND(L6&lt;L$3,L6&lt;L$2),"räkning ","")</f>
        <v/>
      </c>
      <c r="N6" s="5"/>
      <c r="O6" s="4" t="str">
        <f>[1]o!AE13</f>
        <v>arv, våt-</v>
      </c>
      <c r="Q6" s="38">
        <v>12</v>
      </c>
      <c r="R6" s="37" t="s">
        <v>78</v>
      </c>
      <c r="S6" s="38">
        <v>12</v>
      </c>
      <c r="T6" s="37" t="s">
        <v>79</v>
      </c>
      <c r="BS6" s="4"/>
      <c r="BT6" s="4"/>
      <c r="BU6" s="4"/>
      <c r="BV6" s="4"/>
      <c r="BW6" s="4"/>
      <c r="BX6" s="4"/>
      <c r="BY6" s="4"/>
      <c r="BZ6" s="4"/>
      <c r="CA6" s="4"/>
    </row>
    <row r="7" spans="1:79" s="16" customFormat="1" ht="13.5" customHeight="1" x14ac:dyDescent="0.25">
      <c r="A7" s="1">
        <f>IF(OR(SUM(A41:A45)=5,N42=29),0,1)</f>
        <v>0</v>
      </c>
      <c r="B7" s="44" t="s">
        <v>209</v>
      </c>
      <c r="C7" s="3"/>
      <c r="D7" s="3"/>
      <c r="E7" s="3"/>
      <c r="F7" s="3"/>
      <c r="G7" s="3"/>
      <c r="H7" s="3"/>
      <c r="I7" s="3"/>
      <c r="J7" s="43"/>
      <c r="K7" s="5"/>
      <c r="L7" s="46">
        <f>IF(AND(L3=L2,L4=L2,L5=L2,L6=L2),0,1)</f>
        <v>0</v>
      </c>
      <c r="M7" s="5" t="str">
        <f>IF(L7=0,"",M3&amp;M4&amp;M5&amp;M6&amp;" saknas")</f>
        <v/>
      </c>
      <c r="N7" s="5"/>
      <c r="O7" s="4" t="str">
        <f>[1]o!AE14</f>
        <v>baldersbrå</v>
      </c>
      <c r="P7" s="1"/>
      <c r="Q7" s="38">
        <v>20</v>
      </c>
      <c r="R7" s="37" t="s">
        <v>85</v>
      </c>
      <c r="S7" s="38"/>
      <c r="T7" s="37" t="s">
        <v>86</v>
      </c>
    </row>
    <row r="8" spans="1:79" s="16" customFormat="1" ht="13.5" customHeight="1" x14ac:dyDescent="0.25">
      <c r="A8" s="1">
        <f>IF(OR(SUM(A46:A50)=5,N47=29),0,1)</f>
        <v>0</v>
      </c>
      <c r="B8" s="44" t="s">
        <v>210</v>
      </c>
      <c r="C8" s="3"/>
      <c r="D8" s="3"/>
      <c r="E8" s="3"/>
      <c r="F8" s="3"/>
      <c r="G8" s="3"/>
      <c r="H8" s="3"/>
      <c r="I8" s="3"/>
      <c r="J8" s="43"/>
      <c r="K8" s="5"/>
      <c r="L8" s="5"/>
      <c r="M8" s="5"/>
      <c r="N8" s="5"/>
      <c r="O8" s="4" t="str">
        <f>[1]o!AE15</f>
        <v>bitterpilört</v>
      </c>
      <c r="P8" s="1"/>
      <c r="Q8" s="38">
        <v>21</v>
      </c>
      <c r="R8" s="37" t="s">
        <v>92</v>
      </c>
      <c r="S8" s="38">
        <v>30</v>
      </c>
      <c r="T8" s="37" t="s">
        <v>93</v>
      </c>
    </row>
    <row r="9" spans="1:79" s="16" customFormat="1" ht="13.5" customHeight="1" x14ac:dyDescent="0.25">
      <c r="A9" s="1">
        <f>IF(OR(SUM(A51:A55)=5,N52=29),0,1)</f>
        <v>0</v>
      </c>
      <c r="B9" s="45" t="s">
        <v>211</v>
      </c>
      <c r="C9" s="3"/>
      <c r="D9" s="3"/>
      <c r="E9" s="3"/>
      <c r="F9" s="3"/>
      <c r="G9" s="3"/>
      <c r="H9" s="3"/>
      <c r="I9" s="3"/>
      <c r="J9" s="43"/>
      <c r="K9" s="5"/>
      <c r="L9" s="5"/>
      <c r="M9" s="5"/>
      <c r="N9" s="5"/>
      <c r="O9" s="4" t="str">
        <f>[1]o!AE16</f>
        <v>blåklint</v>
      </c>
      <c r="P9" s="1"/>
      <c r="Q9" s="38">
        <v>22</v>
      </c>
      <c r="R9" s="37" t="s">
        <v>97</v>
      </c>
      <c r="S9" s="38">
        <v>31</v>
      </c>
      <c r="T9" s="37" t="s">
        <v>98</v>
      </c>
    </row>
    <row r="10" spans="1:79" s="16" customFormat="1" ht="13.5" customHeight="1" x14ac:dyDescent="0.25">
      <c r="A10" s="1"/>
      <c r="B10" s="45" t="s">
        <v>212</v>
      </c>
      <c r="C10" s="3"/>
      <c r="D10" s="3"/>
      <c r="E10" s="3"/>
      <c r="F10" s="3"/>
      <c r="G10" s="3"/>
      <c r="H10" s="3"/>
      <c r="I10" s="3"/>
      <c r="J10" s="43"/>
      <c r="K10" s="5"/>
      <c r="L10" s="5"/>
      <c r="M10" s="5"/>
      <c r="N10" s="5"/>
      <c r="O10" s="4" t="str">
        <f>[1]o!AE17</f>
        <v>brännässla</v>
      </c>
      <c r="Q10" s="38">
        <v>30</v>
      </c>
      <c r="R10" s="37" t="s">
        <v>105</v>
      </c>
      <c r="S10" s="38">
        <v>32</v>
      </c>
      <c r="T10" s="37" t="s">
        <v>106</v>
      </c>
    </row>
    <row r="11" spans="1:79" s="4" customFormat="1" ht="13.5" customHeight="1" x14ac:dyDescent="0.25">
      <c r="B11" s="45" t="s">
        <v>213</v>
      </c>
      <c r="D11" s="3"/>
      <c r="E11" s="3"/>
      <c r="F11" s="3"/>
      <c r="G11" s="3"/>
      <c r="H11" s="3"/>
      <c r="I11" s="3"/>
      <c r="J11" s="43"/>
      <c r="K11" s="5"/>
      <c r="L11" s="5"/>
      <c r="M11" s="5"/>
      <c r="N11" s="5"/>
      <c r="O11" s="4" t="str">
        <f>[1]o!AE18</f>
        <v>dån</v>
      </c>
      <c r="Q11" s="38">
        <v>31</v>
      </c>
      <c r="R11" s="37" t="s">
        <v>110</v>
      </c>
      <c r="S11" s="38"/>
      <c r="T11" s="37" t="s">
        <v>86</v>
      </c>
    </row>
    <row r="12" spans="1:79" s="16" customFormat="1" ht="13.5" customHeight="1" x14ac:dyDescent="0.25">
      <c r="B12" s="45" t="s">
        <v>214</v>
      </c>
      <c r="C12" s="3"/>
      <c r="D12" s="3"/>
      <c r="E12" s="3"/>
      <c r="F12" s="3"/>
      <c r="G12" s="3"/>
      <c r="H12" s="3"/>
      <c r="I12" s="3"/>
      <c r="J12" s="43"/>
      <c r="K12" s="5"/>
      <c r="L12" s="5"/>
      <c r="M12" s="5"/>
      <c r="N12" s="5"/>
      <c r="O12" s="4" t="str">
        <f>[1]o!AE19</f>
        <v>dån, hamp-</v>
      </c>
      <c r="Q12" s="38">
        <v>32</v>
      </c>
      <c r="R12" s="37" t="s">
        <v>115</v>
      </c>
      <c r="S12" s="38">
        <v>50</v>
      </c>
      <c r="T12" s="37" t="s">
        <v>116</v>
      </c>
    </row>
    <row r="13" spans="1:79" s="16" customFormat="1" ht="13.5" customHeight="1" x14ac:dyDescent="0.25">
      <c r="B13" s="44" t="s">
        <v>215</v>
      </c>
      <c r="C13" s="3"/>
      <c r="D13" s="3"/>
      <c r="E13" s="3"/>
      <c r="F13" s="3"/>
      <c r="G13" s="3"/>
      <c r="H13" s="3"/>
      <c r="I13" s="3"/>
      <c r="J13" s="43"/>
      <c r="K13" s="5"/>
      <c r="L13" s="5"/>
      <c r="M13" s="5"/>
      <c r="N13" s="5"/>
      <c r="O13" s="4" t="str">
        <f>[1]o!AE20</f>
        <v>dån, mjuk-</v>
      </c>
      <c r="Q13" s="38">
        <v>37</v>
      </c>
      <c r="R13" s="37" t="s">
        <v>122</v>
      </c>
      <c r="S13" s="38"/>
      <c r="T13" s="37" t="s">
        <v>123</v>
      </c>
    </row>
    <row r="14" spans="1:79" s="16" customFormat="1" ht="13.5" customHeight="1" x14ac:dyDescent="0.2">
      <c r="B14" s="188" t="s">
        <v>216</v>
      </c>
      <c r="C14" s="189"/>
      <c r="D14" s="189"/>
      <c r="E14" s="189"/>
      <c r="F14" s="189"/>
      <c r="G14" s="189"/>
      <c r="H14" s="189"/>
      <c r="I14" s="189"/>
      <c r="J14" s="190"/>
      <c r="K14" s="5"/>
      <c r="L14" s="5"/>
      <c r="M14" s="5"/>
      <c r="N14" s="5"/>
      <c r="O14" s="4" t="str">
        <f>[1]o!AE21</f>
        <v>dån, pip-</v>
      </c>
      <c r="Q14" s="42">
        <v>39</v>
      </c>
      <c r="R14" s="39" t="s">
        <v>129</v>
      </c>
      <c r="S14" s="38">
        <v>51</v>
      </c>
      <c r="T14" s="37" t="s">
        <v>130</v>
      </c>
    </row>
    <row r="15" spans="1:79" s="16" customFormat="1" ht="13.5" customHeight="1" x14ac:dyDescent="0.2">
      <c r="A15" s="4"/>
      <c r="B15" s="191"/>
      <c r="C15" s="192"/>
      <c r="D15" s="192"/>
      <c r="E15" s="192"/>
      <c r="F15" s="192"/>
      <c r="G15" s="192"/>
      <c r="H15" s="192"/>
      <c r="I15" s="192"/>
      <c r="J15" s="193"/>
      <c r="K15" s="5"/>
      <c r="L15" s="5"/>
      <c r="M15" s="5"/>
      <c r="N15" s="5"/>
      <c r="O15" s="4" t="str">
        <f>[1]o!AE22</f>
        <v>dån, topp-</v>
      </c>
      <c r="Q15" s="38">
        <v>41</v>
      </c>
      <c r="R15" s="37" t="s">
        <v>134</v>
      </c>
      <c r="S15" s="41"/>
      <c r="T15" s="37" t="s">
        <v>135</v>
      </c>
    </row>
    <row r="16" spans="1:79" s="16" customFormat="1" ht="13.5" customHeight="1" x14ac:dyDescent="0.2">
      <c r="A16" s="4">
        <f>IF(B17=0,0,1)</f>
        <v>0</v>
      </c>
      <c r="B16" s="27" t="s">
        <v>217</v>
      </c>
      <c r="C16" s="26" t="s">
        <v>218</v>
      </c>
      <c r="D16" s="25"/>
      <c r="E16" s="24"/>
      <c r="F16" s="23" t="s">
        <v>219</v>
      </c>
      <c r="G16" s="23" t="s">
        <v>219</v>
      </c>
      <c r="H16" s="23" t="s">
        <v>219</v>
      </c>
      <c r="I16" s="23" t="s">
        <v>219</v>
      </c>
      <c r="J16" s="22" t="s">
        <v>220</v>
      </c>
      <c r="K16" s="11"/>
      <c r="L16" s="11"/>
      <c r="M16" s="11"/>
      <c r="N16" s="11"/>
      <c r="O16" s="4" t="str">
        <f>[1]o!AE23</f>
        <v>engelskt rajgräs</v>
      </c>
      <c r="Q16" s="38">
        <v>45</v>
      </c>
      <c r="R16" s="37" t="s">
        <v>138</v>
      </c>
      <c r="S16" s="38">
        <v>55</v>
      </c>
      <c r="T16" s="37" t="s">
        <v>139</v>
      </c>
    </row>
    <row r="17" spans="1:20" s="16" customFormat="1" ht="13.5" customHeight="1" x14ac:dyDescent="0.2">
      <c r="A17" s="4">
        <f>IF(AND(COUNTBLANK(C18:D20)=0,D16&gt;0),1,0)*A16</f>
        <v>0</v>
      </c>
      <c r="B17" s="21"/>
      <c r="C17" s="20" t="s">
        <v>221</v>
      </c>
      <c r="D17" s="20" t="s">
        <v>222</v>
      </c>
      <c r="E17" s="18" t="s">
        <v>223</v>
      </c>
      <c r="F17" s="17"/>
      <c r="G17" s="17"/>
      <c r="H17" s="17"/>
      <c r="I17" s="17"/>
      <c r="J17" s="17"/>
      <c r="K17" s="12">
        <f>IF(COUNTBLANK(F17:I17)=3,F17*4,IF(COUNTBLANK(F17:I17)=2,(F17+G17)*2,IF(COUNTBLANK(F17:I17)=1,SUM(F17:H17)/0.75,SUM(F17:I17))))</f>
        <v>0</v>
      </c>
      <c r="L17" s="11">
        <f>IF(K17&gt;=40,1,IF(K17&gt;=20,2,4))</f>
        <v>4</v>
      </c>
      <c r="M17" s="11">
        <f>4-COUNTBLANK(F17:I17)</f>
        <v>0</v>
      </c>
      <c r="N17" s="11">
        <f>COUNTBLANK(C16:J20)+COUNTBLANK(B17)</f>
        <v>29</v>
      </c>
      <c r="O17" s="4" t="str">
        <f>[1]o!AE24</f>
        <v>etternässla</v>
      </c>
      <c r="Q17" s="38">
        <v>49</v>
      </c>
      <c r="R17" s="37" t="s">
        <v>142</v>
      </c>
      <c r="S17" s="38"/>
      <c r="T17" s="37" t="s">
        <v>143</v>
      </c>
    </row>
    <row r="18" spans="1:20" s="16" customFormat="1" ht="13.5" customHeight="1" x14ac:dyDescent="0.2">
      <c r="A18" s="4">
        <f>IF(COUNTBLANK(J17:J20)=0,1,0)*A16</f>
        <v>0</v>
      </c>
      <c r="B18" s="19" t="s">
        <v>224</v>
      </c>
      <c r="C18" s="17"/>
      <c r="D18" s="17"/>
      <c r="E18" s="18" t="s">
        <v>225</v>
      </c>
      <c r="F18" s="17"/>
      <c r="G18" s="17"/>
      <c r="H18" s="17"/>
      <c r="I18" s="17"/>
      <c r="J18" s="17"/>
      <c r="K18" s="12">
        <f>IF(COUNTBLANK(F18:I18)=3,F18*4,IF(COUNTBLANK(F18:I18)=2,(F18+G18)*2,IF(COUNTBLANK(F18:I18)=1,SUM(F18:H18)/0.75,SUM(F18:I18))))</f>
        <v>0</v>
      </c>
      <c r="L18" s="11">
        <f>IF(K18&gt;=40,1,IF(K18&gt;=20,2,4))</f>
        <v>4</v>
      </c>
      <c r="M18" s="11">
        <f>4-COUNTBLANK(F18:I18)</f>
        <v>0</v>
      </c>
      <c r="N18" s="11"/>
      <c r="O18" s="4" t="str">
        <f>[1]o!AE25</f>
        <v>fliknäva</v>
      </c>
      <c r="Q18" s="38">
        <v>51</v>
      </c>
      <c r="R18" s="37" t="s">
        <v>150</v>
      </c>
      <c r="S18" s="38">
        <v>59</v>
      </c>
      <c r="T18" s="37" t="s">
        <v>151</v>
      </c>
    </row>
    <row r="19" spans="1:20" s="4" customFormat="1" ht="13.5" customHeight="1" x14ac:dyDescent="0.2">
      <c r="A19" s="4">
        <f>IF(SUM(L17:L20)-SUM(M17:M20)&lt;=0,1,0)*A16</f>
        <v>0</v>
      </c>
      <c r="B19" s="19" t="s">
        <v>226</v>
      </c>
      <c r="C19" s="17"/>
      <c r="D19" s="17"/>
      <c r="E19" s="18" t="s">
        <v>227</v>
      </c>
      <c r="F19" s="17"/>
      <c r="G19" s="17"/>
      <c r="H19" s="17"/>
      <c r="I19" s="17"/>
      <c r="J19" s="17"/>
      <c r="K19" s="12">
        <f>IF(COUNTBLANK(F19:I19)=3,F19*4,IF(COUNTBLANK(F19:I19)=2,(F19+G19)*2,IF(COUNTBLANK(F19:I19)=1,SUM(F19:H19)/0.75,SUM(F19:I19))))</f>
        <v>0</v>
      </c>
      <c r="L19" s="11">
        <f>IF(K19&gt;=40,1,IF(K19&gt;=20,2,4))</f>
        <v>4</v>
      </c>
      <c r="M19" s="11">
        <f>4-COUNTBLANK(F19:I19)</f>
        <v>0</v>
      </c>
      <c r="N19" s="11"/>
      <c r="O19" s="4" t="str">
        <f>[1]o!AE26</f>
        <v>flikpilister</v>
      </c>
      <c r="Q19" s="38">
        <v>55</v>
      </c>
      <c r="R19" s="37" t="s">
        <v>154</v>
      </c>
      <c r="S19" s="38">
        <v>61</v>
      </c>
      <c r="T19" s="37" t="s">
        <v>155</v>
      </c>
    </row>
    <row r="20" spans="1:20" s="16" customFormat="1" ht="13.5" customHeight="1" thickBot="1" x14ac:dyDescent="0.25">
      <c r="A20" s="4">
        <f>A16*A17*A18*A19</f>
        <v>0</v>
      </c>
      <c r="B20" s="15" t="s">
        <v>228</v>
      </c>
      <c r="C20" s="13"/>
      <c r="D20" s="13"/>
      <c r="E20" s="14" t="s">
        <v>229</v>
      </c>
      <c r="F20" s="13"/>
      <c r="G20" s="13"/>
      <c r="H20" s="13"/>
      <c r="I20" s="13"/>
      <c r="J20" s="13"/>
      <c r="K20" s="12">
        <f>IF(COUNTBLANK(F20:I20)=3,F20*4,IF(COUNTBLANK(F20:I20)=2,(F20+G20)*2,IF(COUNTBLANK(F20:I20)=1,SUM(F20:H20)/0.75,SUM(F20:I20))))</f>
        <v>0</v>
      </c>
      <c r="L20" s="11">
        <f>IF(K20&gt;=40,1,IF(K20&gt;=20,2,4))</f>
        <v>4</v>
      </c>
      <c r="M20" s="11">
        <f>4-COUNTBLANK(F20:I20)</f>
        <v>0</v>
      </c>
      <c r="N20" s="11"/>
      <c r="O20" s="4" t="str">
        <f>[1]o!AE27</f>
        <v>flyghavre</v>
      </c>
      <c r="Q20" s="38">
        <v>59</v>
      </c>
      <c r="R20" s="37" t="s">
        <v>158</v>
      </c>
      <c r="S20" s="38">
        <v>65</v>
      </c>
      <c r="T20" s="37" t="s">
        <v>159</v>
      </c>
    </row>
    <row r="21" spans="1:20" s="16" customFormat="1" ht="13.5" customHeight="1" x14ac:dyDescent="0.2">
      <c r="A21" s="4">
        <f>IF(B22=0,0,1)</f>
        <v>0</v>
      </c>
      <c r="B21" s="27" t="s">
        <v>230</v>
      </c>
      <c r="C21" s="26" t="s">
        <v>218</v>
      </c>
      <c r="D21" s="25"/>
      <c r="E21" s="24"/>
      <c r="F21" s="23" t="s">
        <v>219</v>
      </c>
      <c r="G21" s="23" t="s">
        <v>219</v>
      </c>
      <c r="H21" s="23" t="s">
        <v>219</v>
      </c>
      <c r="I21" s="23" t="s">
        <v>219</v>
      </c>
      <c r="J21" s="22" t="s">
        <v>220</v>
      </c>
      <c r="K21" s="12"/>
      <c r="L21" s="11"/>
      <c r="M21" s="11"/>
      <c r="N21" s="11"/>
      <c r="O21" s="4" t="str">
        <f>[1]o!AE28</f>
        <v>fräken, åker-</v>
      </c>
      <c r="Q21" s="38">
        <v>61</v>
      </c>
      <c r="R21" s="37" t="s">
        <v>162</v>
      </c>
      <c r="S21" s="38">
        <v>69</v>
      </c>
      <c r="T21" s="37" t="s">
        <v>163</v>
      </c>
    </row>
    <row r="22" spans="1:20" s="16" customFormat="1" ht="13.5" customHeight="1" x14ac:dyDescent="0.2">
      <c r="A22" s="4">
        <f>IF(AND(COUNTBLANK(C23:D25)=0,D21&gt;0),1,0)*A21</f>
        <v>0</v>
      </c>
      <c r="B22" s="21"/>
      <c r="C22" s="20" t="s">
        <v>221</v>
      </c>
      <c r="D22" s="20" t="s">
        <v>222</v>
      </c>
      <c r="E22" s="18" t="s">
        <v>223</v>
      </c>
      <c r="F22" s="17"/>
      <c r="G22" s="17"/>
      <c r="H22" s="17"/>
      <c r="I22" s="17"/>
      <c r="J22" s="17"/>
      <c r="K22" s="12">
        <f>IF(COUNTBLANK(F22:I22)=3,F22*4,IF(COUNTBLANK(F22:I22)=2,(F22+G22)*2,IF(COUNTBLANK(F22:I22)=1,SUM(F22:H22)/0.75,SUM(F22:I22))))</f>
        <v>0</v>
      </c>
      <c r="L22" s="11">
        <f>IF(K22&gt;=40,1,IF(K22&gt;=20,2,4))</f>
        <v>4</v>
      </c>
      <c r="M22" s="11">
        <f>4-COUNTBLANK(F22:I22)</f>
        <v>0</v>
      </c>
      <c r="N22" s="11">
        <f>COUNTBLANK(C21:J25)+COUNTBLANK(B22)</f>
        <v>29</v>
      </c>
      <c r="O22" s="4" t="str">
        <f>[1]o!AE29</f>
        <v>fältveronika</v>
      </c>
      <c r="Q22" s="40">
        <v>65</v>
      </c>
      <c r="R22" s="39" t="s">
        <v>166</v>
      </c>
      <c r="S22" s="38">
        <v>70</v>
      </c>
      <c r="T22" s="37" t="s">
        <v>167</v>
      </c>
    </row>
    <row r="23" spans="1:20" s="16" customFormat="1" ht="13.5" customHeight="1" x14ac:dyDescent="0.2">
      <c r="A23" s="4">
        <f>IF(COUNTBLANK(J22:J25)=0,1,0)*A21</f>
        <v>0</v>
      </c>
      <c r="B23" s="19" t="s">
        <v>224</v>
      </c>
      <c r="C23" s="17"/>
      <c r="D23" s="17"/>
      <c r="E23" s="18" t="s">
        <v>225</v>
      </c>
      <c r="F23" s="17"/>
      <c r="G23" s="17"/>
      <c r="H23" s="17"/>
      <c r="I23" s="17"/>
      <c r="J23" s="17"/>
      <c r="K23" s="12">
        <f>IF(COUNTBLANK(F23:I23)=3,F23*4,IF(COUNTBLANK(F23:I23)=2,(F23+G23)*2,IF(COUNTBLANK(F23:I23)=1,SUM(F23:H23)/0.75,SUM(F23:I23))))</f>
        <v>0</v>
      </c>
      <c r="L23" s="11">
        <f>IF(K23&gt;=40,1,IF(K23&gt;=20,2,4))</f>
        <v>4</v>
      </c>
      <c r="M23" s="11">
        <f>4-COUNTBLANK(F23:I23)</f>
        <v>0</v>
      </c>
      <c r="N23" s="11"/>
      <c r="O23" s="4" t="str">
        <f>[1]o!AE30</f>
        <v>förgätmigej</v>
      </c>
      <c r="Q23" s="38">
        <v>69</v>
      </c>
      <c r="R23" s="37" t="s">
        <v>163</v>
      </c>
      <c r="S23" s="38">
        <v>71</v>
      </c>
      <c r="T23" s="37" t="s">
        <v>170</v>
      </c>
    </row>
    <row r="24" spans="1:20" s="16" customFormat="1" ht="13.5" customHeight="1" x14ac:dyDescent="0.2">
      <c r="A24" s="4">
        <f>IF(SUM(L22:L25)-SUM(M22:M25)&lt;=0,1,0)*A21</f>
        <v>0</v>
      </c>
      <c r="B24" s="19" t="s">
        <v>226</v>
      </c>
      <c r="C24" s="17"/>
      <c r="D24" s="17"/>
      <c r="E24" s="18" t="s">
        <v>227</v>
      </c>
      <c r="F24" s="17"/>
      <c r="G24" s="17"/>
      <c r="H24" s="17"/>
      <c r="I24" s="17"/>
      <c r="J24" s="17"/>
      <c r="K24" s="12">
        <f>IF(COUNTBLANK(F24:I24)=3,F24*4,IF(COUNTBLANK(F24:I24)=2,(F24+G24)*2,IF(COUNTBLANK(F24:I24)=1,SUM(F24:H24)/0.75,SUM(F24:I24))))</f>
        <v>0</v>
      </c>
      <c r="L24" s="11">
        <f>IF(K24&gt;=40,1,IF(K24&gt;=20,2,4))</f>
        <v>4</v>
      </c>
      <c r="M24" s="11">
        <f>4-COUNTBLANK(F24:I24)</f>
        <v>0</v>
      </c>
      <c r="N24" s="11"/>
      <c r="O24" s="4" t="str">
        <f>[1]o!AE31</f>
        <v>förgätmigej, åker-</v>
      </c>
      <c r="Q24" s="38">
        <v>73</v>
      </c>
      <c r="R24" s="37" t="s">
        <v>173</v>
      </c>
      <c r="S24" s="38" t="s">
        <v>174</v>
      </c>
      <c r="T24" s="37" t="s">
        <v>175</v>
      </c>
    </row>
    <row r="25" spans="1:20" s="16" customFormat="1" ht="13.5" customHeight="1" thickBot="1" x14ac:dyDescent="0.25">
      <c r="A25" s="4">
        <f>A21*A22*A23*A24</f>
        <v>0</v>
      </c>
      <c r="B25" s="15" t="s">
        <v>228</v>
      </c>
      <c r="C25" s="13"/>
      <c r="D25" s="13"/>
      <c r="E25" s="14" t="s">
        <v>229</v>
      </c>
      <c r="F25" s="13"/>
      <c r="G25" s="13"/>
      <c r="H25" s="13"/>
      <c r="I25" s="13"/>
      <c r="J25" s="13"/>
      <c r="K25" s="12">
        <f>IF(COUNTBLANK(F25:I25)=3,F25*4,IF(COUNTBLANK(F25:I25)=2,(F25+G25)*2,IF(COUNTBLANK(F25:I25)=1,SUM(F25:H25)/0.75,SUM(F25:I25))))</f>
        <v>0</v>
      </c>
      <c r="L25" s="11">
        <f>IF(K25&gt;=40,1,IF(K25&gt;=20,2,4))</f>
        <v>4</v>
      </c>
      <c r="M25" s="11">
        <f>4-COUNTBLANK(F25:I25)</f>
        <v>0</v>
      </c>
      <c r="N25" s="11"/>
      <c r="O25" s="4" t="str">
        <f>[1]o!AE32</f>
        <v>gatkamomill</v>
      </c>
      <c r="Q25" s="38">
        <v>75</v>
      </c>
      <c r="R25" s="37" t="s">
        <v>180</v>
      </c>
      <c r="T25" s="36"/>
    </row>
    <row r="26" spans="1:20" s="16" customFormat="1" ht="13.5" customHeight="1" x14ac:dyDescent="0.2">
      <c r="A26" s="4">
        <f>IF(B27=0,0,1)</f>
        <v>0</v>
      </c>
      <c r="B26" s="27" t="s">
        <v>231</v>
      </c>
      <c r="C26" s="26" t="s">
        <v>218</v>
      </c>
      <c r="D26" s="25"/>
      <c r="E26" s="24"/>
      <c r="F26" s="23" t="s">
        <v>219</v>
      </c>
      <c r="G26" s="23" t="s">
        <v>219</v>
      </c>
      <c r="H26" s="23" t="s">
        <v>219</v>
      </c>
      <c r="I26" s="23" t="s">
        <v>219</v>
      </c>
      <c r="J26" s="22" t="s">
        <v>220</v>
      </c>
      <c r="K26" s="31"/>
      <c r="L26" s="30"/>
      <c r="M26" s="30"/>
      <c r="N26" s="30"/>
      <c r="O26" s="4" t="str">
        <f>[1]o!AE33</f>
        <v>groblad</v>
      </c>
      <c r="Q26" s="38">
        <v>77</v>
      </c>
      <c r="R26" s="37" t="s">
        <v>183</v>
      </c>
      <c r="T26" s="36"/>
    </row>
    <row r="27" spans="1:20" s="16" customFormat="1" ht="13.5" customHeight="1" x14ac:dyDescent="0.2">
      <c r="A27" s="4">
        <f>IF(AND(COUNTBLANK(C28:D30)=0,D26&gt;0),1,0)*A26</f>
        <v>0</v>
      </c>
      <c r="B27" s="21"/>
      <c r="C27" s="20" t="s">
        <v>221</v>
      </c>
      <c r="D27" s="20" t="s">
        <v>222</v>
      </c>
      <c r="E27" s="18" t="s">
        <v>223</v>
      </c>
      <c r="F27" s="17"/>
      <c r="G27" s="17"/>
      <c r="H27" s="17"/>
      <c r="I27" s="17"/>
      <c r="J27" s="17"/>
      <c r="K27" s="12">
        <f>IF(COUNTBLANK(F27:I27)=3,F27*4,IF(COUNTBLANK(F27:I27)=2,(F27+G27)*2,IF(COUNTBLANK(F27:I27)=1,SUM(F27:H27)/0.75,SUM(F27:I27))))</f>
        <v>0</v>
      </c>
      <c r="L27" s="11">
        <f>IF(K27&gt;=40,1,IF(K27&gt;=20,2,4))</f>
        <v>4</v>
      </c>
      <c r="M27" s="11">
        <f>4-COUNTBLANK(F27:I27)</f>
        <v>0</v>
      </c>
      <c r="N27" s="11">
        <f>COUNTBLANK(C26:J30)+COUNTBLANK(B27)</f>
        <v>29</v>
      </c>
      <c r="O27" s="4" t="str">
        <f>[1]o!AE34</f>
        <v>gräs, annuell</v>
      </c>
      <c r="Q27" s="38">
        <v>83</v>
      </c>
      <c r="R27" s="37" t="s">
        <v>185</v>
      </c>
      <c r="T27" s="36"/>
    </row>
    <row r="28" spans="1:20" s="16" customFormat="1" ht="13.5" customHeight="1" x14ac:dyDescent="0.2">
      <c r="A28" s="4">
        <f>IF(COUNTBLANK(J27:J30)=0,1,0)*A26</f>
        <v>0</v>
      </c>
      <c r="B28" s="19" t="s">
        <v>224</v>
      </c>
      <c r="C28" s="17"/>
      <c r="D28" s="17"/>
      <c r="E28" s="18" t="s">
        <v>225</v>
      </c>
      <c r="F28" s="17"/>
      <c r="G28" s="17"/>
      <c r="H28" s="17"/>
      <c r="I28" s="17"/>
      <c r="J28" s="17"/>
      <c r="K28" s="12">
        <f>IF(COUNTBLANK(F28:I28)=3,F28*4,IF(COUNTBLANK(F28:I28)=2,(F28+G28)*2,IF(COUNTBLANK(F28:I28)=1,SUM(F28:H28)/0.75,SUM(F28:I28))))</f>
        <v>0</v>
      </c>
      <c r="L28" s="11">
        <f>IF(K28&gt;=40,1,IF(K28&gt;=20,2,4))</f>
        <v>4</v>
      </c>
      <c r="M28" s="11">
        <f>4-COUNTBLANK(F28:I28)</f>
        <v>0</v>
      </c>
      <c r="N28" s="11"/>
      <c r="O28" s="4" t="str">
        <f>[1]o!AE35</f>
        <v>gröe, vit-</v>
      </c>
      <c r="Q28" s="38">
        <v>85</v>
      </c>
      <c r="R28" s="37" t="s">
        <v>188</v>
      </c>
      <c r="T28" s="36"/>
    </row>
    <row r="29" spans="1:20" s="16" customFormat="1" ht="13.5" customHeight="1" x14ac:dyDescent="0.2">
      <c r="A29" s="4">
        <f>IF(SUM(L27:L30)-SUM(M27:M30)&lt;=0,1,0)*A26</f>
        <v>0</v>
      </c>
      <c r="B29" s="19" t="s">
        <v>226</v>
      </c>
      <c r="C29" s="17"/>
      <c r="D29" s="17"/>
      <c r="E29" s="18" t="s">
        <v>227</v>
      </c>
      <c r="F29" s="17"/>
      <c r="G29" s="17"/>
      <c r="H29" s="17"/>
      <c r="I29" s="17"/>
      <c r="J29" s="17"/>
      <c r="K29" s="12">
        <f>IF(COUNTBLANK(F29:I29)=3,F29*4,IF(COUNTBLANK(F29:I29)=2,(F29+G29)*2,IF(COUNTBLANK(F29:I29)=1,SUM(F29:H29)/0.75,SUM(F29:I29))))</f>
        <v>0</v>
      </c>
      <c r="L29" s="11">
        <f>IF(K29&gt;=40,1,IF(K29&gt;=20,2,4))</f>
        <v>4</v>
      </c>
      <c r="M29" s="11">
        <f>4-COUNTBLANK(F29:I29)</f>
        <v>0</v>
      </c>
      <c r="N29" s="11"/>
      <c r="O29" s="4" t="str">
        <f>[1]o!AE36</f>
        <v>gulmåra</v>
      </c>
      <c r="Q29" s="35">
        <v>87</v>
      </c>
      <c r="R29" s="34" t="s">
        <v>191</v>
      </c>
      <c r="S29" s="33"/>
      <c r="T29" s="32"/>
    </row>
    <row r="30" spans="1:20" s="16" customFormat="1" ht="13.5" customHeight="1" thickBot="1" x14ac:dyDescent="0.25">
      <c r="A30" s="4">
        <f>A26*A27*A28*A29</f>
        <v>0</v>
      </c>
      <c r="B30" s="15" t="s">
        <v>228</v>
      </c>
      <c r="C30" s="13"/>
      <c r="D30" s="13"/>
      <c r="E30" s="14" t="s">
        <v>229</v>
      </c>
      <c r="F30" s="13"/>
      <c r="G30" s="13"/>
      <c r="H30" s="13"/>
      <c r="I30" s="13"/>
      <c r="J30" s="13"/>
      <c r="K30" s="12">
        <f>IF(COUNTBLANK(F30:I30)=3,F30*4,IF(COUNTBLANK(F30:I30)=2,(F30+G30)*2,IF(COUNTBLANK(F30:I30)=1,SUM(F30:H30)/0.75,SUM(F30:I30))))</f>
        <v>0</v>
      </c>
      <c r="L30" s="11">
        <f>IF(K30&gt;=40,1,IF(K30&gt;=20,2,4))</f>
        <v>4</v>
      </c>
      <c r="M30" s="11">
        <f>4-COUNTBLANK(F30:I30)</f>
        <v>0</v>
      </c>
      <c r="N30" s="11"/>
      <c r="O30" s="4" t="str">
        <f>[1]o!AE37</f>
        <v>gyllen, sommar-</v>
      </c>
    </row>
    <row r="31" spans="1:20" s="16" customFormat="1" ht="13.5" customHeight="1" x14ac:dyDescent="0.2">
      <c r="A31" s="4">
        <f>IF(B32=0,0,1)</f>
        <v>0</v>
      </c>
      <c r="B31" s="27" t="s">
        <v>232</v>
      </c>
      <c r="C31" s="26" t="s">
        <v>218</v>
      </c>
      <c r="D31" s="25"/>
      <c r="E31" s="24"/>
      <c r="F31" s="23" t="s">
        <v>219</v>
      </c>
      <c r="G31" s="23" t="s">
        <v>219</v>
      </c>
      <c r="H31" s="23" t="s">
        <v>219</v>
      </c>
      <c r="I31" s="23" t="s">
        <v>219</v>
      </c>
      <c r="J31" s="22" t="s">
        <v>220</v>
      </c>
      <c r="K31" s="31"/>
      <c r="L31" s="30"/>
      <c r="M31" s="30"/>
      <c r="N31" s="30"/>
      <c r="O31" s="4" t="str">
        <f>[1]o!AE38</f>
        <v>gyllen, åker-</v>
      </c>
    </row>
    <row r="32" spans="1:20" s="16" customFormat="1" ht="13.5" customHeight="1" x14ac:dyDescent="0.2">
      <c r="A32" s="4">
        <f>IF(AND(COUNTBLANK(C33:D35)=0,D31&gt;0),1,0)*A31</f>
        <v>0</v>
      </c>
      <c r="B32" s="21"/>
      <c r="C32" s="20" t="s">
        <v>221</v>
      </c>
      <c r="D32" s="20" t="s">
        <v>222</v>
      </c>
      <c r="E32" s="18" t="s">
        <v>223</v>
      </c>
      <c r="F32" s="17"/>
      <c r="G32" s="17"/>
      <c r="H32" s="17"/>
      <c r="I32" s="17"/>
      <c r="J32" s="17"/>
      <c r="K32" s="12">
        <f>IF(COUNTBLANK(F32:I32)=3,F32*4,IF(COUNTBLANK(F32:I32)=2,(F32+G32)*2,IF(COUNTBLANK(F32:I32)=1,SUM(F32:H32)/0.75,SUM(F32:I32))))</f>
        <v>0</v>
      </c>
      <c r="L32" s="11">
        <f>IF(K32&gt;=40,1,IF(K32&gt;=20,2,4))</f>
        <v>4</v>
      </c>
      <c r="M32" s="11">
        <f>4-COUNTBLANK(F32:I32)</f>
        <v>0</v>
      </c>
      <c r="N32" s="11">
        <f>COUNTBLANK(C31:J35)+COUNTBLANK(B32)</f>
        <v>29</v>
      </c>
      <c r="O32" s="4" t="str">
        <f>[1]o!AE39</f>
        <v>hampdån</v>
      </c>
    </row>
    <row r="33" spans="1:20" s="16" customFormat="1" ht="13.5" customHeight="1" x14ac:dyDescent="0.2">
      <c r="A33" s="4">
        <f>IF(COUNTBLANK(J32:J35)=0,1,0)*A31</f>
        <v>0</v>
      </c>
      <c r="B33" s="19" t="s">
        <v>224</v>
      </c>
      <c r="C33" s="17"/>
      <c r="D33" s="17"/>
      <c r="E33" s="18" t="s">
        <v>225</v>
      </c>
      <c r="F33" s="17"/>
      <c r="G33" s="17"/>
      <c r="H33" s="17"/>
      <c r="I33" s="17"/>
      <c r="J33" s="17"/>
      <c r="K33" s="12">
        <f>IF(COUNTBLANK(F33:I33)=3,F33*4,IF(COUNTBLANK(F33:I33)=2,(F33+G33)*2,IF(COUNTBLANK(F33:I33)=1,SUM(F33:H33)/0.75,SUM(F33:I33))))</f>
        <v>0</v>
      </c>
      <c r="L33" s="11">
        <f>IF(K33&gt;=40,1,IF(K33&gt;=20,2,4))</f>
        <v>4</v>
      </c>
      <c r="M33" s="11">
        <f>4-COUNTBLANK(F33:I33)</f>
        <v>0</v>
      </c>
      <c r="N33" s="11"/>
      <c r="O33" s="4" t="str">
        <f>[1]o!AE40</f>
        <v>harkål</v>
      </c>
    </row>
    <row r="34" spans="1:20" s="16" customFormat="1" ht="13.5" customHeight="1" x14ac:dyDescent="0.2">
      <c r="A34" s="4">
        <f>IF(SUM(L32:L35)-SUM(M32:M35)&lt;=0,1,0)*A31</f>
        <v>0</v>
      </c>
      <c r="B34" s="19" t="s">
        <v>226</v>
      </c>
      <c r="C34" s="17"/>
      <c r="D34" s="17"/>
      <c r="E34" s="18" t="s">
        <v>227</v>
      </c>
      <c r="F34" s="17"/>
      <c r="G34" s="17"/>
      <c r="H34" s="17"/>
      <c r="I34" s="17"/>
      <c r="J34" s="17"/>
      <c r="K34" s="12">
        <f>IF(COUNTBLANK(F34:I34)=3,F34*4,IF(COUNTBLANK(F34:I34)=2,(F34+G34)*2,IF(COUNTBLANK(F34:I34)=1,SUM(F34:H34)/0.75,SUM(F34:I34))))</f>
        <v>0</v>
      </c>
      <c r="L34" s="11">
        <f>IF(K34&gt;=40,1,IF(K34&gt;=20,2,4))</f>
        <v>4</v>
      </c>
      <c r="M34" s="11">
        <f>4-COUNTBLANK(F34:I34)</f>
        <v>0</v>
      </c>
      <c r="N34" s="11"/>
      <c r="O34" s="4" t="str">
        <f>[1]o!AE41</f>
        <v>havre, flyg-</v>
      </c>
    </row>
    <row r="35" spans="1:20" s="16" customFormat="1" ht="13.5" customHeight="1" thickBot="1" x14ac:dyDescent="0.25">
      <c r="A35" s="4">
        <f>A31*A32*A33*A34</f>
        <v>0</v>
      </c>
      <c r="B35" s="15" t="s">
        <v>228</v>
      </c>
      <c r="C35" s="13"/>
      <c r="D35" s="13"/>
      <c r="E35" s="14" t="s">
        <v>229</v>
      </c>
      <c r="F35" s="13"/>
      <c r="G35" s="13"/>
      <c r="H35" s="13"/>
      <c r="I35" s="13"/>
      <c r="J35" s="13"/>
      <c r="K35" s="12">
        <f>IF(COUNTBLANK(F35:I35)=3,F35*4,IF(COUNTBLANK(F35:I35)=2,(F35+G35)*2,IF(COUNTBLANK(F35:I35)=1,SUM(F35:H35)/0.75,SUM(F35:I35))))</f>
        <v>0</v>
      </c>
      <c r="L35" s="11">
        <f>IF(K35&gt;=40,1,IF(K35&gt;=20,2,4))</f>
        <v>4</v>
      </c>
      <c r="M35" s="11">
        <f>4-COUNTBLANK(F35:I35)</f>
        <v>0</v>
      </c>
      <c r="N35" s="11"/>
      <c r="O35" s="4" t="str">
        <f>[1]o!AE42</f>
        <v>havre, spill-</v>
      </c>
    </row>
    <row r="36" spans="1:20" s="16" customFormat="1" ht="13.5" customHeight="1" x14ac:dyDescent="0.2">
      <c r="A36" s="4">
        <f>IF(B37=0,0,1)</f>
        <v>0</v>
      </c>
      <c r="B36" s="27" t="s">
        <v>233</v>
      </c>
      <c r="C36" s="26" t="s">
        <v>218</v>
      </c>
      <c r="D36" s="25"/>
      <c r="E36" s="24"/>
      <c r="F36" s="23" t="s">
        <v>219</v>
      </c>
      <c r="G36" s="23" t="s">
        <v>219</v>
      </c>
      <c r="H36" s="23" t="s">
        <v>219</v>
      </c>
      <c r="I36" s="23" t="s">
        <v>219</v>
      </c>
      <c r="J36" s="22" t="s">
        <v>220</v>
      </c>
      <c r="K36" s="29"/>
      <c r="L36" s="28"/>
      <c r="M36" s="28"/>
      <c r="N36" s="28"/>
      <c r="O36" s="4" t="str">
        <f>[1]o!AE43</f>
        <v>hirs, höns-</v>
      </c>
    </row>
    <row r="37" spans="1:20" s="10" customFormat="1" ht="13.5" customHeight="1" x14ac:dyDescent="0.2">
      <c r="A37" s="4">
        <f>IF(AND(COUNTBLANK(C38:D40)=0,D36&gt;0),1,0)*A36</f>
        <v>0</v>
      </c>
      <c r="B37" s="21"/>
      <c r="C37" s="20" t="s">
        <v>221</v>
      </c>
      <c r="D37" s="20" t="s">
        <v>222</v>
      </c>
      <c r="E37" s="18" t="s">
        <v>223</v>
      </c>
      <c r="F37" s="17"/>
      <c r="G37" s="17"/>
      <c r="H37" s="17"/>
      <c r="I37" s="17"/>
      <c r="J37" s="17"/>
      <c r="K37" s="12">
        <f>IF(COUNTBLANK(F37:I37)=3,F37*4,IF(COUNTBLANK(F37:I37)=2,(F37+G37)*2,IF(COUNTBLANK(F37:I37)=1,SUM(F37:H37)/0.75,SUM(F37:I37))))</f>
        <v>0</v>
      </c>
      <c r="L37" s="11">
        <f>IF(K37&gt;=40,1,IF(K37&gt;=20,2,4))</f>
        <v>4</v>
      </c>
      <c r="M37" s="11">
        <f>4-COUNTBLANK(F37:I37)</f>
        <v>0</v>
      </c>
      <c r="N37" s="11">
        <f>COUNTBLANK(C36:J40)+COUNTBLANK(B37)</f>
        <v>29</v>
      </c>
      <c r="O37" s="4" t="str">
        <f>[1]o!AE44</f>
        <v>hästhov</v>
      </c>
      <c r="P37" s="16"/>
      <c r="S37" s="16"/>
      <c r="T37" s="16"/>
    </row>
    <row r="38" spans="1:20" s="4" customFormat="1" ht="13.5" customHeight="1" x14ac:dyDescent="0.2">
      <c r="A38" s="4">
        <f>IF(COUNTBLANK(J37:J40)=0,1,0)*A36</f>
        <v>0</v>
      </c>
      <c r="B38" s="19" t="s">
        <v>224</v>
      </c>
      <c r="C38" s="17"/>
      <c r="D38" s="17"/>
      <c r="E38" s="18" t="s">
        <v>225</v>
      </c>
      <c r="F38" s="17"/>
      <c r="G38" s="17"/>
      <c r="H38" s="17"/>
      <c r="I38" s="17"/>
      <c r="J38" s="17"/>
      <c r="K38" s="12">
        <f>IF(COUNTBLANK(F38:I38)=3,F38*4,IF(COUNTBLANK(F38:I38)=2,(F38+G38)*2,IF(COUNTBLANK(F38:I38)=1,SUM(F38:H38)/0.75,SUM(F38:I38))))</f>
        <v>0</v>
      </c>
      <c r="L38" s="11">
        <f>IF(K38&gt;=40,1,IF(K38&gt;=20,2,4))</f>
        <v>4</v>
      </c>
      <c r="M38" s="11">
        <f>4-COUNTBLANK(F38:I38)</f>
        <v>0</v>
      </c>
      <c r="N38" s="11"/>
      <c r="O38" s="4" t="str">
        <f>[1]o!AE45</f>
        <v>hönshirs</v>
      </c>
      <c r="P38" s="16"/>
      <c r="S38" s="16"/>
      <c r="T38" s="10"/>
    </row>
    <row r="39" spans="1:20" s="4" customFormat="1" ht="13.5" customHeight="1" x14ac:dyDescent="0.2">
      <c r="A39" s="4">
        <f>IF(SUM(L37:L40)-SUM(M37:M40)&lt;=0,1,0)*A36</f>
        <v>0</v>
      </c>
      <c r="B39" s="19" t="s">
        <v>226</v>
      </c>
      <c r="C39" s="17"/>
      <c r="D39" s="17"/>
      <c r="E39" s="18" t="s">
        <v>227</v>
      </c>
      <c r="F39" s="17"/>
      <c r="G39" s="17"/>
      <c r="H39" s="17"/>
      <c r="I39" s="17"/>
      <c r="J39" s="17"/>
      <c r="K39" s="12">
        <f>IF(COUNTBLANK(F39:I39)=3,F39*4,IF(COUNTBLANK(F39:I39)=2,(F39+G39)*2,IF(COUNTBLANK(F39:I39)=1,SUM(F39:H39)/0.75,SUM(F39:I39))))</f>
        <v>0</v>
      </c>
      <c r="L39" s="11">
        <f>IF(K39&gt;=40,1,IF(K39&gt;=20,2,4))</f>
        <v>4</v>
      </c>
      <c r="M39" s="11">
        <f>4-COUNTBLANK(F39:I39)</f>
        <v>0</v>
      </c>
      <c r="N39" s="11"/>
      <c r="O39" s="4" t="str">
        <f>[1]o!AE46</f>
        <v>ital rajgräs</v>
      </c>
      <c r="P39" s="16"/>
      <c r="S39" s="10"/>
    </row>
    <row r="40" spans="1:20" s="4" customFormat="1" ht="13.5" customHeight="1" thickBot="1" x14ac:dyDescent="0.25">
      <c r="A40" s="4">
        <f>A36*A37*A38*A39</f>
        <v>0</v>
      </c>
      <c r="B40" s="15" t="s">
        <v>228</v>
      </c>
      <c r="C40" s="13"/>
      <c r="D40" s="13"/>
      <c r="E40" s="14" t="s">
        <v>229</v>
      </c>
      <c r="F40" s="13"/>
      <c r="G40" s="13"/>
      <c r="H40" s="13"/>
      <c r="I40" s="13"/>
      <c r="J40" s="13"/>
      <c r="K40" s="12">
        <f>IF(COUNTBLANK(F40:I40)=3,F40*4,IF(COUNTBLANK(F40:I40)=2,(F40+G40)*2,IF(COUNTBLANK(F40:I40)=1,SUM(F40:H40)/0.75,SUM(F40:I40))))</f>
        <v>0</v>
      </c>
      <c r="L40" s="11">
        <f>IF(K40&gt;=40,1,IF(K40&gt;=20,2,4))</f>
        <v>4</v>
      </c>
      <c r="M40" s="11">
        <f>4-COUNTBLANK(F40:I40)</f>
        <v>0</v>
      </c>
      <c r="N40" s="11"/>
      <c r="O40" s="4" t="str">
        <f>[1]o!AE47</f>
        <v>jordrök</v>
      </c>
      <c r="P40" s="10"/>
    </row>
    <row r="41" spans="1:20" s="16" customFormat="1" ht="13.5" customHeight="1" x14ac:dyDescent="0.2">
      <c r="A41" s="4">
        <f>IF(B42=0,0,1)</f>
        <v>0</v>
      </c>
      <c r="B41" s="27" t="s">
        <v>234</v>
      </c>
      <c r="C41" s="26" t="s">
        <v>218</v>
      </c>
      <c r="D41" s="25"/>
      <c r="E41" s="24"/>
      <c r="F41" s="23" t="s">
        <v>219</v>
      </c>
      <c r="G41" s="23" t="s">
        <v>219</v>
      </c>
      <c r="H41" s="23" t="s">
        <v>219</v>
      </c>
      <c r="I41" s="23" t="s">
        <v>219</v>
      </c>
      <c r="J41" s="22" t="s">
        <v>220</v>
      </c>
      <c r="K41" s="12"/>
      <c r="L41" s="11"/>
      <c r="M41" s="11"/>
      <c r="N41" s="11"/>
      <c r="O41" s="4" t="str">
        <f>[1]o!AE48</f>
        <v>kamomill, gat-</v>
      </c>
    </row>
    <row r="42" spans="1:20" s="10" customFormat="1" ht="13.5" customHeight="1" x14ac:dyDescent="0.2">
      <c r="A42" s="4">
        <f>IF(AND(COUNTBLANK(C43:D45)=0,D41&gt;0),1,0)*A41</f>
        <v>0</v>
      </c>
      <c r="B42" s="21"/>
      <c r="C42" s="20" t="s">
        <v>221</v>
      </c>
      <c r="D42" s="20" t="s">
        <v>222</v>
      </c>
      <c r="E42" s="18" t="s">
        <v>223</v>
      </c>
      <c r="F42" s="17"/>
      <c r="G42" s="17"/>
      <c r="H42" s="17"/>
      <c r="I42" s="17"/>
      <c r="J42" s="17"/>
      <c r="K42" s="12">
        <f>IF(COUNTBLANK(F42:I42)=3,F42*4,IF(COUNTBLANK(F42:I42)=2,(F42+G42)*2,IF(COUNTBLANK(F42:I42)=1,SUM(F42:H42)/0.75,SUM(F42:I42))))</f>
        <v>0</v>
      </c>
      <c r="L42" s="11">
        <f>IF(K42&gt;=40,1,IF(K42&gt;=20,2,4))</f>
        <v>4</v>
      </c>
      <c r="M42" s="11">
        <f>4-COUNTBLANK(F42:I42)</f>
        <v>0</v>
      </c>
      <c r="N42" s="11">
        <f>COUNTBLANK(C41:J45)+COUNTBLANK(B42)</f>
        <v>29</v>
      </c>
      <c r="O42" s="4" t="str">
        <f>[1]o!AE49</f>
        <v>kamomill, vanlig</v>
      </c>
      <c r="P42" s="16"/>
      <c r="S42" s="16"/>
      <c r="T42" s="16"/>
    </row>
    <row r="43" spans="1:20" s="4" customFormat="1" ht="13.5" customHeight="1" x14ac:dyDescent="0.2">
      <c r="A43" s="4">
        <f>IF(COUNTBLANK(J42:J45)=0,1,0)*A41</f>
        <v>0</v>
      </c>
      <c r="B43" s="19" t="s">
        <v>224</v>
      </c>
      <c r="C43" s="17"/>
      <c r="D43" s="17"/>
      <c r="E43" s="18" t="s">
        <v>225</v>
      </c>
      <c r="F43" s="17"/>
      <c r="G43" s="17"/>
      <c r="H43" s="17"/>
      <c r="I43" s="17"/>
      <c r="J43" s="17"/>
      <c r="K43" s="12">
        <f>IF(COUNTBLANK(F43:I43)=3,F43*4,IF(COUNTBLANK(F43:I43)=2,(F43+G43)*2,IF(COUNTBLANK(F43:I43)=1,SUM(F43:H43)/0.75,SUM(F43:I43))))</f>
        <v>0</v>
      </c>
      <c r="L43" s="11">
        <f>IF(K43&gt;=40,1,IF(K43&gt;=20,2,4))</f>
        <v>4</v>
      </c>
      <c r="M43" s="11">
        <f>4-COUNTBLANK(F43:I43)</f>
        <v>0</v>
      </c>
      <c r="N43" s="11"/>
      <c r="O43" s="4" t="str">
        <f>[1]o!AE50</f>
        <v>kirskål</v>
      </c>
      <c r="P43" s="16"/>
      <c r="S43" s="16"/>
      <c r="T43" s="10"/>
    </row>
    <row r="44" spans="1:20" s="4" customFormat="1" ht="13.5" customHeight="1" x14ac:dyDescent="0.2">
      <c r="A44" s="4">
        <f>IF(SUM(L42:L45)-SUM(M42:M45)&lt;=0,1,0)*A41</f>
        <v>0</v>
      </c>
      <c r="B44" s="19" t="s">
        <v>226</v>
      </c>
      <c r="C44" s="17"/>
      <c r="D44" s="17"/>
      <c r="E44" s="18" t="s">
        <v>227</v>
      </c>
      <c r="F44" s="17"/>
      <c r="G44" s="17"/>
      <c r="H44" s="17"/>
      <c r="I44" s="17"/>
      <c r="J44" s="17"/>
      <c r="K44" s="12">
        <f>IF(COUNTBLANK(F44:I44)=3,F44*4,IF(COUNTBLANK(F44:I44)=2,(F44+G44)*2,IF(COUNTBLANK(F44:I44)=1,SUM(F44:H44)/0.75,SUM(F44:I44))))</f>
        <v>0</v>
      </c>
      <c r="L44" s="11">
        <f>IF(K44&gt;=40,1,IF(K44&gt;=20,2,4))</f>
        <v>4</v>
      </c>
      <c r="M44" s="11">
        <f>4-COUNTBLANK(F44:I44)</f>
        <v>0</v>
      </c>
      <c r="N44" s="11"/>
      <c r="O44" s="4" t="str">
        <f>[1]o!AE51</f>
        <v>knölsyska</v>
      </c>
      <c r="P44" s="16"/>
      <c r="S44" s="10"/>
    </row>
    <row r="45" spans="1:20" s="4" customFormat="1" ht="13.5" customHeight="1" thickBot="1" x14ac:dyDescent="0.25">
      <c r="A45" s="4">
        <f>A41*A42*A43*A44</f>
        <v>0</v>
      </c>
      <c r="B45" s="15" t="s">
        <v>228</v>
      </c>
      <c r="C45" s="13"/>
      <c r="D45" s="13"/>
      <c r="E45" s="14" t="s">
        <v>229</v>
      </c>
      <c r="F45" s="13"/>
      <c r="G45" s="13"/>
      <c r="H45" s="13"/>
      <c r="I45" s="13"/>
      <c r="J45" s="13"/>
      <c r="K45" s="12">
        <f>IF(COUNTBLANK(F45:I45)=3,F45*4,IF(COUNTBLANK(F45:I45)=2,(F45+G45)*2,IF(COUNTBLANK(F45:I45)=1,SUM(F45:H45)/0.75,SUM(F45:I45))))</f>
        <v>0</v>
      </c>
      <c r="L45" s="11">
        <f>IF(K45&gt;=40,1,IF(K45&gt;=20,2,4))</f>
        <v>4</v>
      </c>
      <c r="M45" s="11">
        <f>4-COUNTBLANK(F45:I45)</f>
        <v>0</v>
      </c>
      <c r="N45" s="11"/>
      <c r="O45" s="4" t="str">
        <f>[1]o!AE52</f>
        <v>korn, spill-</v>
      </c>
      <c r="P45" s="10"/>
    </row>
    <row r="46" spans="1:20" s="16" customFormat="1" ht="13.5" customHeight="1" x14ac:dyDescent="0.2">
      <c r="A46" s="4">
        <f>IF(B47=0,0,1)</f>
        <v>0</v>
      </c>
      <c r="B46" s="27" t="s">
        <v>235</v>
      </c>
      <c r="C46" s="26" t="s">
        <v>218</v>
      </c>
      <c r="D46" s="25"/>
      <c r="E46" s="24"/>
      <c r="F46" s="23" t="s">
        <v>219</v>
      </c>
      <c r="G46" s="23" t="s">
        <v>219</v>
      </c>
      <c r="H46" s="23" t="s">
        <v>219</v>
      </c>
      <c r="I46" s="23" t="s">
        <v>219</v>
      </c>
      <c r="J46" s="22" t="s">
        <v>220</v>
      </c>
      <c r="K46" s="29"/>
      <c r="L46" s="28"/>
      <c r="M46" s="28"/>
      <c r="N46" s="28"/>
      <c r="O46" s="4" t="str">
        <f>[1]o!AE53</f>
        <v>kornvallmo</v>
      </c>
    </row>
    <row r="47" spans="1:20" s="10" customFormat="1" ht="13.5" customHeight="1" x14ac:dyDescent="0.2">
      <c r="A47" s="4">
        <f>IF(AND(COUNTBLANK(C48:D50)=0,D46&gt;0),1,0)*A46</f>
        <v>0</v>
      </c>
      <c r="B47" s="21"/>
      <c r="C47" s="20" t="s">
        <v>221</v>
      </c>
      <c r="D47" s="20" t="s">
        <v>222</v>
      </c>
      <c r="E47" s="18" t="s">
        <v>223</v>
      </c>
      <c r="F47" s="17"/>
      <c r="G47" s="17"/>
      <c r="H47" s="17"/>
      <c r="I47" s="17"/>
      <c r="J47" s="17"/>
      <c r="K47" s="12">
        <f>IF(COUNTBLANK(F47:I47)=3,F47*4,IF(COUNTBLANK(F47:I47)=2,(F47+G47)*2,IF(COUNTBLANK(F47:I47)=1,SUM(F47:H47)/0.75,SUM(F47:I47))))</f>
        <v>0</v>
      </c>
      <c r="L47" s="11">
        <f>IF(K47&gt;=40,1,IF(K47&gt;=20,2,4))</f>
        <v>4</v>
      </c>
      <c r="M47" s="11">
        <f>4-COUNTBLANK(F47:I47)</f>
        <v>0</v>
      </c>
      <c r="N47" s="11">
        <f>COUNTBLANK(C46:J50)+COUNTBLANK(B47)</f>
        <v>29</v>
      </c>
      <c r="O47" s="4" t="str">
        <f>[1]o!AE54</f>
        <v>korsört</v>
      </c>
      <c r="P47" s="16"/>
      <c r="S47" s="16"/>
      <c r="T47" s="16"/>
    </row>
    <row r="48" spans="1:20" s="4" customFormat="1" ht="13.5" customHeight="1" x14ac:dyDescent="0.2">
      <c r="A48" s="4">
        <f>IF(COUNTBLANK(J47:J50)=0,1,0)*A46</f>
        <v>0</v>
      </c>
      <c r="B48" s="19" t="s">
        <v>224</v>
      </c>
      <c r="C48" s="17"/>
      <c r="D48" s="17"/>
      <c r="E48" s="18" t="s">
        <v>225</v>
      </c>
      <c r="F48" s="17"/>
      <c r="G48" s="17"/>
      <c r="H48" s="17"/>
      <c r="I48" s="17"/>
      <c r="J48" s="17"/>
      <c r="K48" s="12">
        <f>IF(COUNTBLANK(F48:I48)=3,F48*4,IF(COUNTBLANK(F48:I48)=2,(F48+G48)*2,IF(COUNTBLANK(F48:I48)=1,SUM(F48:H48)/0.75,SUM(F48:I48))))</f>
        <v>0</v>
      </c>
      <c r="L48" s="11">
        <f>IF(K48&gt;=40,1,IF(K48&gt;=20,2,4))</f>
        <v>4</v>
      </c>
      <c r="M48" s="11">
        <f>4-COUNTBLANK(F48:I48)</f>
        <v>0</v>
      </c>
      <c r="N48" s="11"/>
      <c r="O48" s="4" t="str">
        <f>[1]o!AE55</f>
        <v>kvickrot</v>
      </c>
      <c r="P48" s="16"/>
      <c r="S48" s="16"/>
      <c r="T48" s="10"/>
    </row>
    <row r="49" spans="1:20" s="4" customFormat="1" ht="13.5" customHeight="1" x14ac:dyDescent="0.2">
      <c r="A49" s="4">
        <f>IF(SUM(L47:L50)-SUM(M47:M50)&lt;=0,1,0)*A46</f>
        <v>0</v>
      </c>
      <c r="B49" s="19" t="s">
        <v>226</v>
      </c>
      <c r="C49" s="17"/>
      <c r="D49" s="17"/>
      <c r="E49" s="18" t="s">
        <v>227</v>
      </c>
      <c r="F49" s="17"/>
      <c r="G49" s="17"/>
      <c r="H49" s="17"/>
      <c r="I49" s="17"/>
      <c r="J49" s="17"/>
      <c r="K49" s="12">
        <f>IF(COUNTBLANK(F49:I49)=3,F49*4,IF(COUNTBLANK(F49:I49)=2,(F49+G49)*2,IF(COUNTBLANK(F49:I49)=1,SUM(F49:H49)/0.75,SUM(F49:I49))))</f>
        <v>0</v>
      </c>
      <c r="L49" s="11">
        <f>IF(K49&gt;=40,1,IF(K49&gt;=20,2,4))</f>
        <v>4</v>
      </c>
      <c r="M49" s="11">
        <f>4-COUNTBLANK(F49:I49)</f>
        <v>0</v>
      </c>
      <c r="N49" s="11"/>
      <c r="O49" s="4" t="str">
        <f>[1]o!AE56</f>
        <v>kämpar, röd-</v>
      </c>
      <c r="P49" s="16"/>
      <c r="S49" s="10"/>
    </row>
    <row r="50" spans="1:20" s="4" customFormat="1" ht="13.5" customHeight="1" thickBot="1" x14ac:dyDescent="0.25">
      <c r="A50" s="4">
        <f>A46*A47*A48*A49</f>
        <v>0</v>
      </c>
      <c r="B50" s="15" t="s">
        <v>228</v>
      </c>
      <c r="C50" s="13"/>
      <c r="D50" s="13"/>
      <c r="E50" s="14" t="s">
        <v>229</v>
      </c>
      <c r="F50" s="13"/>
      <c r="G50" s="13"/>
      <c r="H50" s="13"/>
      <c r="I50" s="13"/>
      <c r="J50" s="13"/>
      <c r="K50" s="12">
        <f>IF(COUNTBLANK(F50:I50)=3,F50*4,IF(COUNTBLANK(F50:I50)=2,(F50+G50)*2,IF(COUNTBLANK(F50:I50)=1,SUM(F50:H50)/0.75,SUM(F50:I50))))</f>
        <v>0</v>
      </c>
      <c r="L50" s="11">
        <f>IF(K50&gt;=40,1,IF(K50&gt;=20,2,4))</f>
        <v>4</v>
      </c>
      <c r="M50" s="11">
        <f>4-COUNTBLANK(F50:I50)</f>
        <v>0</v>
      </c>
      <c r="N50" s="11"/>
      <c r="O50" s="4" t="str">
        <f>[1]o!AE57</f>
        <v>kämpar, svart-</v>
      </c>
      <c r="P50" s="10"/>
    </row>
    <row r="51" spans="1:20" s="16" customFormat="1" ht="13.5" customHeight="1" x14ac:dyDescent="0.2">
      <c r="A51" s="4">
        <f>IF(B52=0,0,1)</f>
        <v>0</v>
      </c>
      <c r="B51" s="27" t="s">
        <v>236</v>
      </c>
      <c r="C51" s="26" t="s">
        <v>218</v>
      </c>
      <c r="D51" s="25"/>
      <c r="E51" s="24"/>
      <c r="F51" s="23" t="s">
        <v>219</v>
      </c>
      <c r="G51" s="23" t="s">
        <v>219</v>
      </c>
      <c r="H51" s="23" t="s">
        <v>219</v>
      </c>
      <c r="I51" s="23" t="s">
        <v>219</v>
      </c>
      <c r="J51" s="22" t="s">
        <v>220</v>
      </c>
      <c r="K51" s="12"/>
      <c r="L51" s="11"/>
      <c r="M51" s="11"/>
      <c r="N51" s="11"/>
      <c r="O51" s="4" t="str">
        <f>[1]o!AE58</f>
        <v>lomme</v>
      </c>
    </row>
    <row r="52" spans="1:20" s="10" customFormat="1" ht="13.5" customHeight="1" x14ac:dyDescent="0.2">
      <c r="A52" s="4">
        <f>IF(AND(COUNTBLANK(C53:D55)=0,D51&gt;0),1,0)*A51</f>
        <v>0</v>
      </c>
      <c r="B52" s="21"/>
      <c r="C52" s="20" t="s">
        <v>221</v>
      </c>
      <c r="D52" s="20" t="s">
        <v>222</v>
      </c>
      <c r="E52" s="18" t="s">
        <v>223</v>
      </c>
      <c r="F52" s="17"/>
      <c r="G52" s="17"/>
      <c r="H52" s="17"/>
      <c r="I52" s="17"/>
      <c r="J52" s="17"/>
      <c r="K52" s="12">
        <f>IF(COUNTBLANK(F52:I52)=3,F52*4,IF(COUNTBLANK(F52:I52)=2,(F52+G52)*2,IF(COUNTBLANK(F52:I52)=1,SUM(F52:H52)/0.75,SUM(F52:I52))))</f>
        <v>0</v>
      </c>
      <c r="L52" s="11">
        <f>IF(K52&gt;=40,1,IF(K52&gt;=20,2,4))</f>
        <v>4</v>
      </c>
      <c r="M52" s="11">
        <f>4-COUNTBLANK(F52:I52)</f>
        <v>0</v>
      </c>
      <c r="N52" s="11">
        <f>COUNTBLANK(C51:J55)+COUNTBLANK(B52)</f>
        <v>29</v>
      </c>
      <c r="O52" s="4" t="str">
        <f>[1]o!AE59</f>
        <v>majveronika</v>
      </c>
      <c r="P52" s="16"/>
      <c r="S52" s="16"/>
      <c r="T52" s="16"/>
    </row>
    <row r="53" spans="1:20" s="4" customFormat="1" ht="13.5" customHeight="1" x14ac:dyDescent="0.2">
      <c r="A53" s="4">
        <f>IF(COUNTBLANK(J52:J55)=0,1,0)*A51</f>
        <v>0</v>
      </c>
      <c r="B53" s="19" t="s">
        <v>224</v>
      </c>
      <c r="C53" s="17"/>
      <c r="D53" s="17"/>
      <c r="E53" s="18" t="s">
        <v>225</v>
      </c>
      <c r="F53" s="17"/>
      <c r="G53" s="17"/>
      <c r="H53" s="17"/>
      <c r="I53" s="17"/>
      <c r="J53" s="17"/>
      <c r="K53" s="12">
        <f>IF(COUNTBLANK(F53:I53)=3,F53*4,IF(COUNTBLANK(F53:I53)=2,(F53+G53)*2,IF(COUNTBLANK(F53:I53)=1,SUM(F53:H53)/0.75,SUM(F53:I53))))</f>
        <v>0</v>
      </c>
      <c r="L53" s="11">
        <f>IF(K53&gt;=40,1,IF(K53&gt;=20,2,4))</f>
        <v>4</v>
      </c>
      <c r="M53" s="11">
        <f>4-COUNTBLANK(F53:I53)</f>
        <v>0</v>
      </c>
      <c r="N53" s="11"/>
      <c r="O53" s="4" t="str">
        <f>[1]o!AE60</f>
        <v>maskros</v>
      </c>
      <c r="P53" s="16"/>
      <c r="S53" s="16"/>
      <c r="T53" s="10"/>
    </row>
    <row r="54" spans="1:20" s="4" customFormat="1" ht="13.5" customHeight="1" x14ac:dyDescent="0.2">
      <c r="A54" s="4">
        <f>IF(SUM(L52:L55)-SUM(M52:M55)&lt;=0,1,0)*A51</f>
        <v>0</v>
      </c>
      <c r="B54" s="19" t="s">
        <v>226</v>
      </c>
      <c r="C54" s="17"/>
      <c r="D54" s="17"/>
      <c r="E54" s="18" t="s">
        <v>227</v>
      </c>
      <c r="F54" s="17"/>
      <c r="G54" s="17"/>
      <c r="H54" s="17"/>
      <c r="I54" s="17"/>
      <c r="J54" s="17"/>
      <c r="K54" s="12">
        <f>IF(COUNTBLANK(F54:I54)=3,F54*4,IF(COUNTBLANK(F54:I54)=2,(F54+G54)*2,IF(COUNTBLANK(F54:I54)=1,SUM(F54:H54)/0.75,SUM(F54:I54))))</f>
        <v>0</v>
      </c>
      <c r="L54" s="11">
        <f>IF(K54&gt;=40,1,IF(K54&gt;=20,2,4))</f>
        <v>4</v>
      </c>
      <c r="M54" s="11">
        <f>4-COUNTBLANK(F54:I54)</f>
        <v>0</v>
      </c>
      <c r="N54" s="11"/>
      <c r="O54" s="4" t="str">
        <f>[1]o!AE61</f>
        <v>mjukdån</v>
      </c>
      <c r="P54" s="16"/>
      <c r="S54" s="10"/>
    </row>
    <row r="55" spans="1:20" s="4" customFormat="1" ht="13.5" customHeight="1" thickBot="1" x14ac:dyDescent="0.25">
      <c r="A55" s="4">
        <f>A51*A52*A53*A54</f>
        <v>0</v>
      </c>
      <c r="B55" s="15" t="s">
        <v>228</v>
      </c>
      <c r="C55" s="13"/>
      <c r="D55" s="13"/>
      <c r="E55" s="14" t="s">
        <v>229</v>
      </c>
      <c r="F55" s="13"/>
      <c r="G55" s="13"/>
      <c r="H55" s="13"/>
      <c r="I55" s="13"/>
      <c r="J55" s="13"/>
      <c r="K55" s="12">
        <f>IF(COUNTBLANK(F55:I55)=3,F55*4,IF(COUNTBLANK(F55:I55)=2,(F55+G55)*2,IF(COUNTBLANK(F55:I55)=1,SUM(F55:H55)/0.75,SUM(F55:I55))))</f>
        <v>0</v>
      </c>
      <c r="L55" s="11">
        <f>IF(K55&gt;=40,1,IF(K55&gt;=20,2,4))</f>
        <v>4</v>
      </c>
      <c r="M55" s="11">
        <f>4-COUNTBLANK(F55:I55)</f>
        <v>0</v>
      </c>
      <c r="N55" s="11"/>
      <c r="O55" s="4" t="str">
        <f>[1]o!AE62</f>
        <v>mjuknäva</v>
      </c>
      <c r="P55" s="10"/>
    </row>
    <row r="56" spans="1:20" s="4" customFormat="1" ht="11.25" customHeight="1" x14ac:dyDescent="0.2">
      <c r="B56" s="9" t="s">
        <v>237</v>
      </c>
      <c r="C56" s="194" t="s">
        <v>238</v>
      </c>
      <c r="D56" s="194"/>
      <c r="E56" s="6"/>
      <c r="F56" s="6"/>
      <c r="G56" s="6"/>
      <c r="H56" s="6"/>
      <c r="I56" s="6"/>
      <c r="J56" s="8"/>
      <c r="O56" s="4" t="str">
        <f>[1]o!AE64</f>
        <v>molke, åker-</v>
      </c>
    </row>
    <row r="57" spans="1:20" s="4" customFormat="1" ht="11.25" customHeight="1" x14ac:dyDescent="0.2">
      <c r="B57" s="195"/>
      <c r="C57" s="197"/>
      <c r="D57" s="198"/>
      <c r="E57" s="6"/>
      <c r="F57" s="201"/>
      <c r="G57" s="201"/>
      <c r="H57" s="201"/>
      <c r="I57" s="201"/>
      <c r="J57" s="202"/>
      <c r="O57" s="4" t="str">
        <f>[1]o!AE65</f>
        <v>murgrönsveronika</v>
      </c>
    </row>
    <row r="58" spans="1:20" s="4" customFormat="1" ht="11.25" customHeight="1" x14ac:dyDescent="0.2">
      <c r="A58" s="4">
        <f>IF(OR(ISBLANK(B57),ISBLANK(C57)),1000,0)</f>
        <v>1000</v>
      </c>
      <c r="B58" s="196"/>
      <c r="C58" s="199"/>
      <c r="D58" s="200"/>
      <c r="E58" s="7"/>
      <c r="F58" s="203"/>
      <c r="G58" s="203"/>
      <c r="H58" s="203"/>
      <c r="I58" s="203"/>
      <c r="J58" s="204"/>
      <c r="O58" s="4" t="str">
        <f>[1]o!AE66</f>
        <v>målla</v>
      </c>
    </row>
    <row r="59" spans="1:20" s="4" customFormat="1" ht="11.25" customHeight="1" x14ac:dyDescent="0.2">
      <c r="B59" s="6"/>
      <c r="C59" s="6"/>
      <c r="D59" s="6"/>
      <c r="E59" s="6"/>
      <c r="F59" s="6"/>
      <c r="G59" s="6"/>
      <c r="H59" s="6"/>
      <c r="I59" s="6"/>
      <c r="J59" s="6"/>
      <c r="O59" s="4" t="str">
        <f>[1]o!AE67</f>
        <v>målla, svin-</v>
      </c>
    </row>
    <row r="60" spans="1:20" s="4" customFormat="1" ht="11.25" customHeight="1" x14ac:dyDescent="0.2">
      <c r="B60" s="6"/>
      <c r="C60" s="6"/>
      <c r="D60" s="6"/>
      <c r="E60" s="6"/>
      <c r="F60" s="6"/>
      <c r="G60" s="6"/>
      <c r="H60" s="6"/>
      <c r="I60" s="6"/>
      <c r="J60" s="6"/>
      <c r="O60" s="4" t="str">
        <f>[1]o!AE68</f>
        <v>målla, väg-</v>
      </c>
    </row>
    <row r="61" spans="1:20" s="4" customFormat="1" ht="11.25" customHeight="1" x14ac:dyDescent="0.2">
      <c r="B61" s="6"/>
      <c r="C61" s="6"/>
      <c r="D61" s="6"/>
      <c r="E61" s="6"/>
      <c r="F61" s="6"/>
      <c r="G61" s="6"/>
      <c r="H61" s="6"/>
      <c r="I61" s="6"/>
      <c r="J61" s="6"/>
      <c r="O61" s="4" t="str">
        <f>[1]o!AE69</f>
        <v>måra, gul-</v>
      </c>
    </row>
    <row r="62" spans="1:20" s="4" customFormat="1" ht="11.25" customHeight="1" x14ac:dyDescent="0.2">
      <c r="B62" s="6"/>
      <c r="C62" s="6"/>
      <c r="D62" s="6"/>
      <c r="E62" s="6"/>
      <c r="F62" s="6"/>
      <c r="G62" s="6"/>
      <c r="H62" s="6"/>
      <c r="I62" s="6"/>
      <c r="J62" s="6"/>
      <c r="K62" s="5"/>
      <c r="L62" s="5"/>
      <c r="M62" s="5"/>
      <c r="N62" s="5"/>
      <c r="O62" s="4" t="str">
        <f>[1]o!AE70</f>
        <v>måra, snärj-</v>
      </c>
    </row>
    <row r="63" spans="1:20" s="4" customFormat="1" ht="11.25" customHeight="1" x14ac:dyDescent="0.2">
      <c r="B63" s="6"/>
      <c r="C63" s="6"/>
      <c r="D63" s="6"/>
      <c r="E63" s="6"/>
      <c r="F63" s="6"/>
      <c r="G63" s="6"/>
      <c r="H63" s="6"/>
      <c r="I63" s="6"/>
      <c r="J63" s="6"/>
      <c r="K63" s="5"/>
      <c r="L63" s="5"/>
      <c r="M63" s="5"/>
      <c r="N63" s="5"/>
      <c r="O63" s="4" t="str">
        <f>[1]o!AE71</f>
        <v>nässla, bränn-</v>
      </c>
    </row>
    <row r="64" spans="1:20" s="4" customFormat="1" ht="11.25" customHeight="1" x14ac:dyDescent="0.2">
      <c r="B64" s="6"/>
      <c r="C64" s="6"/>
      <c r="D64" s="6"/>
      <c r="E64" s="6"/>
      <c r="F64" s="6"/>
      <c r="G64" s="6"/>
      <c r="H64" s="6"/>
      <c r="I64" s="6"/>
      <c r="J64" s="6"/>
      <c r="K64" s="5"/>
      <c r="L64" s="5"/>
      <c r="M64" s="5"/>
      <c r="N64" s="5"/>
      <c r="O64" s="4" t="str">
        <f>[1]o!AE72</f>
        <v>nässla, etter-</v>
      </c>
    </row>
    <row r="65" spans="1:15" s="4" customFormat="1" ht="11.25" customHeight="1" x14ac:dyDescent="0.2">
      <c r="B65" s="6"/>
      <c r="C65" s="6"/>
      <c r="D65" s="6"/>
      <c r="E65" s="6"/>
      <c r="F65" s="6"/>
      <c r="G65" s="6"/>
      <c r="H65" s="6"/>
      <c r="I65" s="6"/>
      <c r="J65" s="6"/>
      <c r="K65" s="5"/>
      <c r="L65" s="5"/>
      <c r="M65" s="5"/>
      <c r="N65" s="5"/>
      <c r="O65" s="4" t="str">
        <f>[1]o!AE73</f>
        <v>näva, flik-</v>
      </c>
    </row>
    <row r="66" spans="1:15" s="4" customFormat="1" ht="11.25" customHeight="1" x14ac:dyDescent="0.25">
      <c r="A66" s="1"/>
      <c r="B66" s="6"/>
      <c r="C66" s="6"/>
      <c r="D66" s="6"/>
      <c r="E66" s="6"/>
      <c r="F66" s="6"/>
      <c r="G66" s="6"/>
      <c r="H66" s="6"/>
      <c r="I66" s="6"/>
      <c r="J66" s="6"/>
      <c r="K66" s="5"/>
      <c r="L66" s="5"/>
      <c r="M66" s="5"/>
      <c r="N66" s="5"/>
      <c r="O66" s="4" t="str">
        <f>[1]o!AE74</f>
        <v>näva, mjuk-</v>
      </c>
    </row>
    <row r="67" spans="1:15" s="4" customFormat="1" ht="11.25" customHeight="1" x14ac:dyDescent="0.25">
      <c r="A67" s="1"/>
      <c r="B67" s="6"/>
      <c r="C67" s="6"/>
      <c r="D67" s="6"/>
      <c r="E67" s="6"/>
      <c r="F67" s="6"/>
      <c r="G67" s="6"/>
      <c r="H67" s="6"/>
      <c r="I67" s="6"/>
      <c r="J67" s="6"/>
      <c r="K67" s="5"/>
      <c r="L67" s="5"/>
      <c r="M67" s="5"/>
      <c r="N67" s="5"/>
      <c r="O67" s="4" t="str">
        <f>[1]o!AE75</f>
        <v>näva, skat-</v>
      </c>
    </row>
    <row r="68" spans="1:15" s="4" customFormat="1" ht="11.25" customHeight="1" x14ac:dyDescent="0.25">
      <c r="A68" s="1"/>
      <c r="B68" s="6"/>
      <c r="C68" s="6"/>
      <c r="D68" s="6"/>
      <c r="E68" s="6"/>
      <c r="F68" s="6"/>
      <c r="G68" s="6"/>
      <c r="H68" s="6"/>
      <c r="I68" s="6"/>
      <c r="J68" s="6"/>
      <c r="K68" s="5"/>
      <c r="L68" s="5"/>
      <c r="M68" s="5"/>
      <c r="N68" s="5"/>
      <c r="O68" s="4" t="str">
        <f>[1]o!AE76</f>
        <v>näva, sparv-</v>
      </c>
    </row>
    <row r="69" spans="1:15" s="4" customFormat="1" ht="11.25" customHeight="1" x14ac:dyDescent="0.25">
      <c r="A69" s="1"/>
      <c r="B69" s="6"/>
      <c r="C69" s="6"/>
      <c r="D69" s="6"/>
      <c r="E69" s="6"/>
      <c r="F69" s="6"/>
      <c r="G69" s="6"/>
      <c r="H69" s="6"/>
      <c r="I69" s="6"/>
      <c r="J69" s="6"/>
      <c r="K69" s="5"/>
      <c r="L69" s="5"/>
      <c r="M69" s="5"/>
      <c r="N69" s="5"/>
      <c r="O69" s="4" t="str">
        <f>[1]o!AE77</f>
        <v>näva, stink-</v>
      </c>
    </row>
    <row r="70" spans="1:15" s="4" customFormat="1" ht="11.25" customHeight="1" x14ac:dyDescent="0.25">
      <c r="A70" s="1"/>
      <c r="B70" s="6"/>
      <c r="C70" s="6"/>
      <c r="D70" s="6"/>
      <c r="E70" s="6"/>
      <c r="F70" s="6"/>
      <c r="G70" s="6"/>
      <c r="H70" s="6"/>
      <c r="I70" s="6"/>
      <c r="J70" s="6"/>
      <c r="K70" s="5"/>
      <c r="L70" s="5"/>
      <c r="M70" s="5"/>
      <c r="N70" s="5"/>
      <c r="O70" s="4" t="str">
        <f>[1]o!AE78</f>
        <v>ogräs ospec</v>
      </c>
    </row>
    <row r="71" spans="1:15" s="4" customFormat="1" ht="11.25" customHeight="1" x14ac:dyDescent="0.25">
      <c r="A71" s="1"/>
      <c r="B71" s="3"/>
      <c r="C71" s="3"/>
      <c r="D71" s="3"/>
      <c r="E71" s="3"/>
      <c r="F71" s="3"/>
      <c r="G71" s="3"/>
      <c r="H71" s="3"/>
      <c r="I71" s="3"/>
      <c r="J71" s="3"/>
      <c r="K71" s="5"/>
      <c r="L71" s="5"/>
      <c r="M71" s="5"/>
      <c r="N71" s="5"/>
      <c r="O71" s="4" t="str">
        <f>[1]o!AE79</f>
        <v>penningört</v>
      </c>
    </row>
    <row r="72" spans="1:15" s="4" customFormat="1" x14ac:dyDescent="0.25">
      <c r="A72" s="1"/>
      <c r="B72" s="3"/>
      <c r="C72" s="3"/>
      <c r="D72" s="3"/>
      <c r="E72" s="3"/>
      <c r="F72" s="3"/>
      <c r="G72" s="3"/>
      <c r="H72" s="3"/>
      <c r="I72" s="3"/>
      <c r="J72" s="3"/>
      <c r="K72" s="5"/>
      <c r="L72" s="5"/>
      <c r="M72" s="5"/>
      <c r="N72" s="5"/>
      <c r="O72" s="4" t="str">
        <f>[1]o!AE80</f>
        <v>pilört</v>
      </c>
    </row>
    <row r="73" spans="1:15" s="4" customFormat="1" x14ac:dyDescent="0.25">
      <c r="A73" s="1"/>
      <c r="B73" s="3"/>
      <c r="C73" s="3"/>
      <c r="D73" s="3"/>
      <c r="E73" s="3"/>
      <c r="F73" s="3"/>
      <c r="G73" s="3"/>
      <c r="H73" s="3"/>
      <c r="I73" s="3"/>
      <c r="J73" s="3"/>
      <c r="K73" s="5"/>
      <c r="L73" s="5"/>
      <c r="M73" s="5"/>
      <c r="N73" s="5"/>
      <c r="O73" s="4" t="str">
        <f>[1]o!AE81</f>
        <v>pilört, bitter-</v>
      </c>
    </row>
    <row r="74" spans="1:15" s="4" customFormat="1" x14ac:dyDescent="0.25">
      <c r="A74" s="1"/>
      <c r="B74" s="3"/>
      <c r="C74" s="3"/>
      <c r="D74" s="3"/>
      <c r="E74" s="3"/>
      <c r="F74" s="3"/>
      <c r="G74" s="3"/>
      <c r="H74" s="3"/>
      <c r="I74" s="3"/>
      <c r="J74" s="3"/>
      <c r="K74" s="5"/>
      <c r="L74" s="5"/>
      <c r="M74" s="5"/>
      <c r="N74" s="5"/>
      <c r="O74" s="4" t="str">
        <f>[1]o!AE82</f>
        <v>pilört, vanlig</v>
      </c>
    </row>
    <row r="75" spans="1:15" s="4" customFormat="1" x14ac:dyDescent="0.25">
      <c r="A75" s="1"/>
      <c r="B75" s="3"/>
      <c r="C75" s="3"/>
      <c r="D75" s="3"/>
      <c r="E75" s="3"/>
      <c r="F75" s="3"/>
      <c r="G75" s="3"/>
      <c r="H75" s="3"/>
      <c r="I75" s="3"/>
      <c r="J75" s="3"/>
      <c r="K75" s="5"/>
      <c r="L75" s="5"/>
      <c r="M75" s="5"/>
      <c r="N75" s="5"/>
      <c r="O75" s="4" t="str">
        <f>[1]o!AE83</f>
        <v>pilört, vatten-</v>
      </c>
    </row>
    <row r="76" spans="1:15" s="4" customFormat="1" x14ac:dyDescent="0.25">
      <c r="A76" s="1"/>
      <c r="B76" s="3"/>
      <c r="C76" s="3"/>
      <c r="D76" s="3"/>
      <c r="E76" s="3"/>
      <c r="F76" s="3"/>
      <c r="G76" s="3"/>
      <c r="H76" s="3"/>
      <c r="I76" s="3"/>
      <c r="J76" s="3"/>
      <c r="K76" s="5"/>
      <c r="L76" s="5"/>
      <c r="M76" s="5"/>
      <c r="N76" s="5"/>
      <c r="O76" s="4" t="str">
        <f>[1]o!AE84</f>
        <v>pilört, åker-</v>
      </c>
    </row>
    <row r="77" spans="1:15" s="4" customFormat="1" x14ac:dyDescent="0.25">
      <c r="A77" s="1"/>
      <c r="B77" s="3"/>
      <c r="C77" s="3"/>
      <c r="D77" s="3"/>
      <c r="E77" s="3"/>
      <c r="F77" s="3"/>
      <c r="G77" s="3"/>
      <c r="H77" s="3"/>
      <c r="I77" s="3"/>
      <c r="J77" s="3"/>
      <c r="K77" s="5"/>
      <c r="L77" s="5"/>
      <c r="M77" s="5"/>
      <c r="N77" s="5"/>
      <c r="O77" s="4" t="str">
        <f>[1]o!AE85</f>
        <v>pipdån</v>
      </c>
    </row>
    <row r="78" spans="1:15" s="4" customFormat="1" x14ac:dyDescent="0.25">
      <c r="A78" s="1"/>
      <c r="B78" s="3"/>
      <c r="C78" s="3"/>
      <c r="D78" s="3"/>
      <c r="E78" s="3"/>
      <c r="F78" s="3"/>
      <c r="G78" s="3"/>
      <c r="H78" s="3"/>
      <c r="I78" s="3"/>
      <c r="J78" s="3"/>
      <c r="K78" s="5"/>
      <c r="L78" s="5"/>
      <c r="M78" s="5"/>
      <c r="N78" s="5"/>
      <c r="O78" s="4" t="str">
        <f>[1]o!AE86</f>
        <v>plister, flik-</v>
      </c>
    </row>
    <row r="79" spans="1:15" s="4" customFormat="1" x14ac:dyDescent="0.25">
      <c r="A79" s="1"/>
      <c r="B79" s="3"/>
      <c r="C79" s="3"/>
      <c r="D79" s="3"/>
      <c r="E79" s="3"/>
      <c r="F79" s="3"/>
      <c r="G79" s="3"/>
      <c r="H79" s="3"/>
      <c r="I79" s="3"/>
      <c r="J79" s="3"/>
      <c r="K79" s="5"/>
      <c r="L79" s="5"/>
      <c r="M79" s="5"/>
      <c r="N79" s="5"/>
      <c r="O79" s="4" t="str">
        <f>[1]o!AE87</f>
        <v>plister, mjuk-</v>
      </c>
    </row>
    <row r="80" spans="1:15" s="4" customFormat="1" x14ac:dyDescent="0.25">
      <c r="A80" s="1"/>
      <c r="B80" s="3"/>
      <c r="C80" s="3"/>
      <c r="D80" s="3"/>
      <c r="E80" s="3"/>
      <c r="F80" s="3"/>
      <c r="G80" s="3"/>
      <c r="H80" s="3"/>
      <c r="I80" s="3"/>
      <c r="J80" s="3"/>
      <c r="K80" s="5"/>
      <c r="L80" s="5"/>
      <c r="M80" s="5"/>
      <c r="N80" s="5"/>
      <c r="O80" s="4" t="str">
        <f>[1]o!AE88</f>
        <v>plister, röd-</v>
      </c>
    </row>
    <row r="81" spans="1:15" s="4" customFormat="1" x14ac:dyDescent="0.25">
      <c r="A81" s="1"/>
      <c r="B81" s="3"/>
      <c r="C81" s="3"/>
      <c r="D81" s="3"/>
      <c r="E81" s="3"/>
      <c r="F81" s="3"/>
      <c r="G81" s="3"/>
      <c r="H81" s="3"/>
      <c r="I81" s="3"/>
      <c r="J81" s="3"/>
      <c r="K81" s="5"/>
      <c r="L81" s="5"/>
      <c r="M81" s="5"/>
      <c r="N81" s="5"/>
      <c r="O81" s="4" t="str">
        <f>[1]o!AE89</f>
        <v>plister, vit-</v>
      </c>
    </row>
    <row r="82" spans="1:15" s="4" customFormat="1" x14ac:dyDescent="0.25">
      <c r="A82" s="1"/>
      <c r="B82" s="3"/>
      <c r="C82" s="3"/>
      <c r="D82" s="3"/>
      <c r="E82" s="3"/>
      <c r="F82" s="3"/>
      <c r="G82" s="3"/>
      <c r="H82" s="3"/>
      <c r="I82" s="3"/>
      <c r="J82" s="3"/>
      <c r="K82" s="5"/>
      <c r="L82" s="5"/>
      <c r="M82" s="5"/>
      <c r="N82" s="5"/>
      <c r="O82" s="4" t="str">
        <f>[1]o!AE90</f>
        <v>potatis</v>
      </c>
    </row>
    <row r="83" spans="1:15" s="4" customFormat="1" x14ac:dyDescent="0.25">
      <c r="A83" s="1"/>
      <c r="B83" s="3"/>
      <c r="C83" s="3"/>
      <c r="D83" s="3"/>
      <c r="E83" s="3"/>
      <c r="F83" s="3"/>
      <c r="G83" s="3"/>
      <c r="H83" s="3"/>
      <c r="I83" s="3"/>
      <c r="J83" s="3"/>
      <c r="K83" s="5"/>
      <c r="L83" s="5"/>
      <c r="M83" s="5"/>
      <c r="N83" s="5"/>
      <c r="O83" s="4" t="str">
        <f>[1]o!AE91</f>
        <v>rajgräs, engelskt-</v>
      </c>
    </row>
    <row r="84" spans="1:15" s="4" customFormat="1" x14ac:dyDescent="0.25">
      <c r="A84" s="1"/>
      <c r="B84" s="3"/>
      <c r="C84" s="3"/>
      <c r="D84" s="3"/>
      <c r="E84" s="3"/>
      <c r="F84" s="3"/>
      <c r="G84" s="3"/>
      <c r="H84" s="3"/>
      <c r="I84" s="3"/>
      <c r="J84" s="3"/>
      <c r="K84" s="5"/>
      <c r="L84" s="5"/>
      <c r="M84" s="5"/>
      <c r="N84" s="5"/>
      <c r="O84" s="4" t="str">
        <f>[1]o!AE92</f>
        <v>rajgräs, ital-</v>
      </c>
    </row>
    <row r="85" spans="1:15" s="4" customFormat="1" x14ac:dyDescent="0.25">
      <c r="A85" s="1"/>
      <c r="B85" s="3"/>
      <c r="C85" s="3"/>
      <c r="D85" s="3"/>
      <c r="E85" s="3"/>
      <c r="F85" s="3"/>
      <c r="G85" s="3"/>
      <c r="H85" s="3"/>
      <c r="I85" s="3"/>
      <c r="J85" s="3"/>
      <c r="K85" s="5"/>
      <c r="L85" s="5"/>
      <c r="M85" s="5"/>
      <c r="N85" s="5"/>
      <c r="O85" s="4" t="str">
        <f>[1]o!AE93</f>
        <v>raps, spill-</v>
      </c>
    </row>
    <row r="86" spans="1:15" s="4" customFormat="1" x14ac:dyDescent="0.25">
      <c r="A86" s="1"/>
      <c r="B86" s="3"/>
      <c r="C86" s="3"/>
      <c r="D86" s="3"/>
      <c r="E86" s="3"/>
      <c r="F86" s="3"/>
      <c r="G86" s="3"/>
      <c r="H86" s="3"/>
      <c r="I86" s="3"/>
      <c r="J86" s="3"/>
      <c r="K86" s="5"/>
      <c r="L86" s="5"/>
      <c r="M86" s="5"/>
      <c r="N86" s="5"/>
      <c r="O86" s="4" t="str">
        <f>[1]o!AE94</f>
        <v>renkavle</v>
      </c>
    </row>
    <row r="87" spans="1:15" s="4" customFormat="1" x14ac:dyDescent="0.25">
      <c r="A87" s="1"/>
      <c r="B87" s="3"/>
      <c r="C87" s="3"/>
      <c r="D87" s="3"/>
      <c r="E87" s="3"/>
      <c r="F87" s="3"/>
      <c r="G87" s="3"/>
      <c r="H87" s="3"/>
      <c r="I87" s="3"/>
      <c r="J87" s="3"/>
      <c r="K87" s="5"/>
      <c r="L87" s="5"/>
      <c r="M87" s="5"/>
      <c r="N87" s="5"/>
      <c r="O87" s="4" t="str">
        <f>[1]o!AE95</f>
        <v>revormstörel</v>
      </c>
    </row>
    <row r="88" spans="1:15" s="4" customFormat="1" x14ac:dyDescent="0.25">
      <c r="A88" s="1"/>
      <c r="B88" s="3"/>
      <c r="C88" s="3"/>
      <c r="D88" s="3"/>
      <c r="E88" s="3"/>
      <c r="F88" s="3"/>
      <c r="G88" s="3"/>
      <c r="H88" s="3"/>
      <c r="I88" s="3"/>
      <c r="J88" s="3"/>
      <c r="K88" s="5"/>
      <c r="L88" s="5"/>
      <c r="M88" s="5"/>
      <c r="N88" s="5"/>
      <c r="O88" s="4" t="str">
        <f>[1]o!AE96</f>
        <v>rågvallmo</v>
      </c>
    </row>
    <row r="89" spans="1:15" s="4" customFormat="1" x14ac:dyDescent="0.25">
      <c r="A89" s="1"/>
      <c r="B89" s="3"/>
      <c r="C89" s="3"/>
      <c r="D89" s="3"/>
      <c r="E89" s="3"/>
      <c r="F89" s="3"/>
      <c r="G89" s="3"/>
      <c r="H89" s="3"/>
      <c r="I89" s="3"/>
      <c r="J89" s="3"/>
      <c r="K89" s="5"/>
      <c r="L89" s="5"/>
      <c r="M89" s="5"/>
      <c r="N89" s="5"/>
      <c r="O89" s="4" t="str">
        <f>[1]o!AE97</f>
        <v>rättika, åker-</v>
      </c>
    </row>
    <row r="90" spans="1:15" s="4" customFormat="1" x14ac:dyDescent="0.25">
      <c r="A90" s="1"/>
      <c r="B90" s="3"/>
      <c r="C90" s="3"/>
      <c r="D90" s="3"/>
      <c r="E90" s="3"/>
      <c r="F90" s="3"/>
      <c r="G90" s="3"/>
      <c r="H90" s="3"/>
      <c r="I90" s="3"/>
      <c r="J90" s="3"/>
      <c r="K90" s="5"/>
      <c r="L90" s="5"/>
      <c r="M90" s="5"/>
      <c r="N90" s="5"/>
      <c r="O90" s="4" t="str">
        <f>[1]o!AE98</f>
        <v>rävtörel</v>
      </c>
    </row>
    <row r="91" spans="1:15" s="4" customFormat="1" x14ac:dyDescent="0.25">
      <c r="A91" s="1"/>
      <c r="B91" s="3"/>
      <c r="C91" s="3"/>
      <c r="D91" s="3"/>
      <c r="E91" s="3"/>
      <c r="F91" s="3"/>
      <c r="G91" s="3"/>
      <c r="H91" s="3"/>
      <c r="I91" s="3"/>
      <c r="J91" s="3"/>
      <c r="K91" s="5"/>
      <c r="L91" s="5"/>
      <c r="M91" s="5"/>
      <c r="N91" s="5"/>
      <c r="O91" s="4" t="str">
        <f>[1]o!AE99</f>
        <v>rödarv</v>
      </c>
    </row>
    <row r="92" spans="1:15" s="4" customFormat="1" x14ac:dyDescent="0.25">
      <c r="A92" s="1"/>
      <c r="B92" s="3"/>
      <c r="C92" s="3"/>
      <c r="D92" s="3"/>
      <c r="E92" s="3"/>
      <c r="F92" s="3"/>
      <c r="G92" s="3"/>
      <c r="H92" s="3"/>
      <c r="I92" s="3"/>
      <c r="J92" s="3"/>
      <c r="K92" s="5"/>
      <c r="L92" s="5"/>
      <c r="M92" s="5"/>
      <c r="N92" s="5"/>
      <c r="O92" s="4" t="str">
        <f>[1]o!AE100</f>
        <v>rödkämpar</v>
      </c>
    </row>
    <row r="93" spans="1:15" s="4" customFormat="1" x14ac:dyDescent="0.25">
      <c r="A93" s="1"/>
      <c r="B93" s="3"/>
      <c r="C93" s="3"/>
      <c r="D93" s="3"/>
      <c r="E93" s="3"/>
      <c r="F93" s="3"/>
      <c r="G93" s="3"/>
      <c r="H93" s="3"/>
      <c r="I93" s="3"/>
      <c r="J93" s="3"/>
      <c r="K93" s="5"/>
      <c r="L93" s="5"/>
      <c r="M93" s="5"/>
      <c r="N93" s="5"/>
      <c r="O93" s="4" t="str">
        <f>[1]o!AE101</f>
        <v>rödplister</v>
      </c>
    </row>
    <row r="94" spans="1:15" s="4" customFormat="1" x14ac:dyDescent="0.25">
      <c r="A94" s="1"/>
      <c r="B94" s="3"/>
      <c r="C94" s="3"/>
      <c r="D94" s="3"/>
      <c r="E94" s="3"/>
      <c r="F94" s="3"/>
      <c r="G94" s="3"/>
      <c r="H94" s="3"/>
      <c r="I94" s="3"/>
      <c r="J94" s="3"/>
      <c r="K94" s="5"/>
      <c r="L94" s="5"/>
      <c r="M94" s="5"/>
      <c r="N94" s="5"/>
      <c r="O94" s="4" t="str">
        <f>[1]o!AE102</f>
        <v>sandtrav</v>
      </c>
    </row>
    <row r="95" spans="1:15" s="4" customFormat="1" x14ac:dyDescent="0.25">
      <c r="A95" s="1"/>
      <c r="B95" s="3"/>
      <c r="C95" s="3"/>
      <c r="D95" s="3"/>
      <c r="E95" s="3"/>
      <c r="F95" s="3"/>
      <c r="G95" s="3"/>
      <c r="H95" s="3"/>
      <c r="I95" s="3"/>
      <c r="J95" s="3"/>
      <c r="K95" s="5"/>
      <c r="L95" s="5"/>
      <c r="M95" s="5"/>
      <c r="N95" s="5"/>
      <c r="O95" s="4" t="str">
        <f>[1]o!AE103</f>
        <v>senap, väg-</v>
      </c>
    </row>
    <row r="96" spans="1:15" s="4" customFormat="1" x14ac:dyDescent="0.25">
      <c r="A96" s="1"/>
      <c r="B96" s="3"/>
      <c r="C96" s="3"/>
      <c r="D96" s="3"/>
      <c r="E96" s="3"/>
      <c r="F96" s="3"/>
      <c r="G96" s="3"/>
      <c r="H96" s="3"/>
      <c r="I96" s="3"/>
      <c r="J96" s="3"/>
      <c r="K96" s="5"/>
      <c r="L96" s="5"/>
      <c r="M96" s="5"/>
      <c r="N96" s="5"/>
      <c r="O96" s="4" t="str">
        <f>[1]o!AE104</f>
        <v>senap, åker-</v>
      </c>
    </row>
    <row r="97" spans="1:20" s="4" customFormat="1" x14ac:dyDescent="0.25">
      <c r="A97" s="1"/>
      <c r="B97" s="3"/>
      <c r="C97" s="3"/>
      <c r="D97" s="3"/>
      <c r="E97" s="3"/>
      <c r="F97" s="3"/>
      <c r="G97" s="3"/>
      <c r="H97" s="3"/>
      <c r="I97" s="3"/>
      <c r="J97" s="3"/>
      <c r="K97" s="5"/>
      <c r="L97" s="5"/>
      <c r="M97" s="5"/>
      <c r="N97" s="5"/>
      <c r="O97" s="4" t="str">
        <f>[1]o!AE105</f>
        <v>skatnäva</v>
      </c>
    </row>
    <row r="98" spans="1:20" s="4" customFormat="1" x14ac:dyDescent="0.25">
      <c r="A98" s="1"/>
      <c r="B98" s="3"/>
      <c r="C98" s="3"/>
      <c r="D98" s="3"/>
      <c r="E98" s="3"/>
      <c r="F98" s="3"/>
      <c r="G98" s="3"/>
      <c r="H98" s="3"/>
      <c r="I98" s="3"/>
      <c r="J98" s="3"/>
      <c r="K98" s="5"/>
      <c r="L98" s="5"/>
      <c r="M98" s="5"/>
      <c r="N98" s="5"/>
      <c r="O98" s="4" t="str">
        <f>[1]o!AE106</f>
        <v>snärjmåra</v>
      </c>
    </row>
    <row r="99" spans="1:20" s="4" customFormat="1" x14ac:dyDescent="0.25">
      <c r="A99" s="1"/>
      <c r="B99" s="3"/>
      <c r="C99" s="3"/>
      <c r="D99" s="3"/>
      <c r="E99" s="3"/>
      <c r="F99" s="3"/>
      <c r="G99" s="3"/>
      <c r="H99" s="3"/>
      <c r="I99" s="3"/>
      <c r="J99" s="3"/>
      <c r="K99" s="5"/>
      <c r="L99" s="5"/>
      <c r="M99" s="5"/>
      <c r="N99" s="5"/>
      <c r="O99" s="4" t="str">
        <f>[1]o!AE107</f>
        <v>sommargyllen</v>
      </c>
    </row>
    <row r="100" spans="1:20" x14ac:dyDescent="0.25">
      <c r="K100" s="5"/>
      <c r="L100" s="5"/>
      <c r="M100" s="5"/>
      <c r="N100" s="5"/>
      <c r="O100" s="4" t="str">
        <f>[1]o!AE108</f>
        <v>sparvnäva</v>
      </c>
      <c r="P100" s="4"/>
      <c r="Q100" s="4"/>
      <c r="R100" s="4"/>
      <c r="S100" s="4"/>
      <c r="T100" s="4"/>
    </row>
    <row r="101" spans="1:20" x14ac:dyDescent="0.25">
      <c r="K101" s="5"/>
      <c r="L101" s="5"/>
      <c r="M101" s="5"/>
      <c r="N101" s="5"/>
      <c r="O101" s="4" t="str">
        <f>[1]o!AE109</f>
        <v>spillhavre</v>
      </c>
      <c r="P101" s="4"/>
      <c r="Q101" s="4"/>
      <c r="R101" s="4"/>
      <c r="S101" s="4"/>
    </row>
    <row r="102" spans="1:20" x14ac:dyDescent="0.25">
      <c r="K102" s="5"/>
      <c r="L102" s="5"/>
      <c r="M102" s="5"/>
      <c r="N102" s="5"/>
      <c r="O102" s="4" t="str">
        <f>[1]o!AE110</f>
        <v>spillkorn</v>
      </c>
      <c r="P102" s="4"/>
      <c r="Q102" s="4"/>
      <c r="R102" s="4"/>
    </row>
    <row r="103" spans="1:20" x14ac:dyDescent="0.25">
      <c r="K103" s="5"/>
      <c r="L103" s="5"/>
      <c r="M103" s="5"/>
      <c r="N103" s="5"/>
      <c r="O103" s="4" t="str">
        <f>[1]o!AE111</f>
        <v>spillraps</v>
      </c>
    </row>
    <row r="104" spans="1:20" x14ac:dyDescent="0.25">
      <c r="K104" s="5"/>
      <c r="L104" s="5"/>
      <c r="M104" s="5"/>
      <c r="N104" s="5"/>
      <c r="O104" s="4" t="str">
        <f>[1]o!AE112</f>
        <v>stinknäva</v>
      </c>
    </row>
    <row r="105" spans="1:20" x14ac:dyDescent="0.25">
      <c r="K105" s="5"/>
      <c r="L105" s="5"/>
      <c r="M105" s="5"/>
      <c r="N105" s="5"/>
      <c r="O105" s="4" t="str">
        <f>[1]o!AE113</f>
        <v>styvmorsviol</v>
      </c>
    </row>
    <row r="106" spans="1:20" x14ac:dyDescent="0.25">
      <c r="K106" s="5"/>
      <c r="L106" s="5"/>
      <c r="M106" s="5"/>
      <c r="N106" s="5"/>
      <c r="O106" s="4" t="str">
        <f>[1]o!AE114</f>
        <v>svartkämpar</v>
      </c>
    </row>
    <row r="107" spans="1:20" x14ac:dyDescent="0.25">
      <c r="K107" s="5"/>
      <c r="L107" s="5"/>
      <c r="M107" s="5"/>
      <c r="N107" s="5"/>
      <c r="O107" s="4" t="str">
        <f>[1]o!AE115</f>
        <v>svinmålla</v>
      </c>
    </row>
    <row r="108" spans="1:20" x14ac:dyDescent="0.25">
      <c r="K108" s="5"/>
      <c r="L108" s="5"/>
      <c r="M108" s="5"/>
      <c r="N108" s="5"/>
      <c r="O108" s="4" t="str">
        <f>[1]o!AE116</f>
        <v>syska, knöl-</v>
      </c>
    </row>
    <row r="109" spans="1:20" x14ac:dyDescent="0.25">
      <c r="K109" s="5"/>
      <c r="L109" s="5"/>
      <c r="M109" s="5"/>
      <c r="N109" s="5"/>
      <c r="O109" s="4" t="str">
        <f>[1]o!AE117</f>
        <v>tistel, väg-</v>
      </c>
    </row>
    <row r="110" spans="1:20" x14ac:dyDescent="0.25">
      <c r="K110" s="5"/>
      <c r="L110" s="5"/>
      <c r="M110" s="5"/>
      <c r="N110" s="5"/>
      <c r="O110" s="4" t="str">
        <f>[1]o!AE118</f>
        <v>tistel, åker-</v>
      </c>
    </row>
    <row r="111" spans="1:20" x14ac:dyDescent="0.25">
      <c r="K111" s="5"/>
      <c r="L111" s="5"/>
      <c r="M111" s="5"/>
      <c r="N111" s="5"/>
      <c r="O111" s="4" t="str">
        <f>[1]o!AE119</f>
        <v>toppdån</v>
      </c>
    </row>
    <row r="112" spans="1:20" x14ac:dyDescent="0.25">
      <c r="K112" s="5"/>
      <c r="L112" s="5"/>
      <c r="M112" s="5"/>
      <c r="N112" s="5"/>
      <c r="O112" s="4" t="str">
        <f>[1]o!AE120</f>
        <v>trampört</v>
      </c>
    </row>
    <row r="113" spans="11:15" x14ac:dyDescent="0.25">
      <c r="K113" s="5"/>
      <c r="L113" s="5"/>
      <c r="M113" s="5"/>
      <c r="N113" s="5"/>
      <c r="O113" s="4" t="str">
        <f>[1]o!AE121</f>
        <v>trav, sand-</v>
      </c>
    </row>
    <row r="114" spans="11:15" x14ac:dyDescent="0.25">
      <c r="K114" s="5"/>
      <c r="L114" s="5"/>
      <c r="M114" s="5"/>
      <c r="N114" s="5"/>
      <c r="O114" s="4" t="str">
        <f>[1]o!AE122</f>
        <v>tvåhjbl arter</v>
      </c>
    </row>
    <row r="115" spans="11:15" x14ac:dyDescent="0.25">
      <c r="K115" s="5"/>
      <c r="L115" s="5"/>
      <c r="M115" s="5"/>
      <c r="N115" s="5"/>
      <c r="O115" s="4" t="str">
        <f>[1]o!AE123</f>
        <v>törel, revorms-</v>
      </c>
    </row>
    <row r="116" spans="11:15" x14ac:dyDescent="0.25">
      <c r="K116" s="5"/>
      <c r="L116" s="5"/>
      <c r="M116" s="5"/>
      <c r="N116" s="5"/>
      <c r="O116" s="4" t="str">
        <f>[1]o!AE124</f>
        <v>törel, räv-</v>
      </c>
    </row>
    <row r="117" spans="11:15" x14ac:dyDescent="0.25">
      <c r="K117" s="5"/>
      <c r="L117" s="5"/>
      <c r="M117" s="5"/>
      <c r="N117" s="5"/>
      <c r="O117" s="4" t="str">
        <f>[1]o!AE125</f>
        <v>vallmo</v>
      </c>
    </row>
    <row r="118" spans="11:15" x14ac:dyDescent="0.25">
      <c r="K118" s="5"/>
      <c r="L118" s="5"/>
      <c r="M118" s="5"/>
      <c r="N118" s="5"/>
      <c r="O118" s="4" t="str">
        <f>[1]o!AE126</f>
        <v>vallmo, korn-</v>
      </c>
    </row>
    <row r="119" spans="11:15" x14ac:dyDescent="0.25">
      <c r="O119" s="4" t="str">
        <f>[1]o!AE127</f>
        <v>vallmo, råg-</v>
      </c>
    </row>
    <row r="120" spans="11:15" x14ac:dyDescent="0.25">
      <c r="O120" s="4" t="str">
        <f>[1]o!AE128</f>
        <v>vanlig kamomill</v>
      </c>
    </row>
    <row r="121" spans="11:15" x14ac:dyDescent="0.25">
      <c r="O121" s="4" t="str">
        <f>[1]o!AE129</f>
        <v>vanlig pilört</v>
      </c>
    </row>
    <row r="122" spans="11:15" x14ac:dyDescent="0.25">
      <c r="O122" s="4" t="str">
        <f>[1]o!AE130</f>
        <v>vattenpilört</v>
      </c>
    </row>
    <row r="123" spans="11:15" x14ac:dyDescent="0.25">
      <c r="O123" s="4" t="str">
        <f>[1]o!AE131</f>
        <v>ven, åker-</v>
      </c>
    </row>
    <row r="124" spans="11:15" x14ac:dyDescent="0.25">
      <c r="O124" s="4" t="str">
        <f>[1]o!AE132</f>
        <v>veronika</v>
      </c>
    </row>
    <row r="125" spans="11:15" x14ac:dyDescent="0.25">
      <c r="O125" s="4" t="str">
        <f>[1]o!AE133</f>
        <v>veronika, fält-</v>
      </c>
    </row>
    <row r="126" spans="11:15" x14ac:dyDescent="0.25">
      <c r="O126" s="4" t="str">
        <f>[1]o!AE134</f>
        <v>veronika, maj-</v>
      </c>
    </row>
    <row r="127" spans="11:15" x14ac:dyDescent="0.25">
      <c r="O127" s="4" t="str">
        <f>[1]o!AE135</f>
        <v>veronika, murgröns-</v>
      </c>
    </row>
    <row r="128" spans="11:15" x14ac:dyDescent="0.25">
      <c r="O128" s="4" t="str">
        <f>[1]o!AE136</f>
        <v>veronika, åker-</v>
      </c>
    </row>
    <row r="129" spans="15:15" x14ac:dyDescent="0.25">
      <c r="O129" s="4" t="str">
        <f>[1]o!AE137</f>
        <v>vete, spill-</v>
      </c>
    </row>
    <row r="130" spans="15:15" x14ac:dyDescent="0.25">
      <c r="O130" s="4" t="str">
        <f>[1]o!AE138</f>
        <v>viol, styvmors-</v>
      </c>
    </row>
    <row r="131" spans="15:15" x14ac:dyDescent="0.25">
      <c r="O131" s="4" t="str">
        <f>[1]o!AE139</f>
        <v>viol, åker-</v>
      </c>
    </row>
    <row r="132" spans="15:15" x14ac:dyDescent="0.25">
      <c r="O132" s="4" t="str">
        <f>[1]o!AE140</f>
        <v>vitgröe</v>
      </c>
    </row>
    <row r="133" spans="15:15" x14ac:dyDescent="0.25">
      <c r="O133" s="4" t="str">
        <f>[1]o!AE141</f>
        <v>vitplister</v>
      </c>
    </row>
    <row r="134" spans="15:15" x14ac:dyDescent="0.25">
      <c r="O134" s="4" t="str">
        <f>[1]o!AE142</f>
        <v>våtarv</v>
      </c>
    </row>
    <row r="135" spans="15:15" x14ac:dyDescent="0.25">
      <c r="O135" s="4" t="str">
        <f>[1]o!AE143</f>
        <v>vägmålla</v>
      </c>
    </row>
    <row r="136" spans="15:15" x14ac:dyDescent="0.25">
      <c r="O136" s="4" t="str">
        <f>[1]o!AE144</f>
        <v>vägsenap</v>
      </c>
    </row>
    <row r="137" spans="15:15" x14ac:dyDescent="0.25">
      <c r="O137" s="4" t="str">
        <f>[1]o!AE145</f>
        <v>vägtistel</v>
      </c>
    </row>
    <row r="138" spans="15:15" x14ac:dyDescent="0.25">
      <c r="O138" s="4" t="str">
        <f>[1]o!AE146</f>
        <v>åkerbinda</v>
      </c>
    </row>
    <row r="139" spans="15:15" x14ac:dyDescent="0.25">
      <c r="O139" s="4" t="str">
        <f>[1]o!AE147</f>
        <v>åkerfräken</v>
      </c>
    </row>
    <row r="140" spans="15:15" x14ac:dyDescent="0.25">
      <c r="O140" s="4" t="str">
        <f>[1]o!AE148</f>
        <v>åkerförgätmigej</v>
      </c>
    </row>
    <row r="141" spans="15:15" x14ac:dyDescent="0.25">
      <c r="O141" s="4" t="str">
        <f>[1]o!AE149</f>
        <v>åkergyllen</v>
      </c>
    </row>
    <row r="142" spans="15:15" x14ac:dyDescent="0.25">
      <c r="O142" s="4" t="str">
        <f>[1]o!AE150</f>
        <v>åkerkål</v>
      </c>
    </row>
    <row r="143" spans="15:15" x14ac:dyDescent="0.25">
      <c r="O143" s="4" t="str">
        <f>[1]o!AE151</f>
        <v>åkermolke</v>
      </c>
    </row>
    <row r="144" spans="15:15" x14ac:dyDescent="0.25">
      <c r="O144" s="4" t="str">
        <f>[1]o!AE152</f>
        <v>åkerpilört</v>
      </c>
    </row>
    <row r="145" spans="15:15" x14ac:dyDescent="0.25">
      <c r="O145" s="4" t="str">
        <f>[1]o!AE153</f>
        <v>åkerrättika</v>
      </c>
    </row>
    <row r="146" spans="15:15" x14ac:dyDescent="0.25">
      <c r="O146" s="4" t="str">
        <f>[1]o!AE154</f>
        <v>åkersenap</v>
      </c>
    </row>
    <row r="147" spans="15:15" x14ac:dyDescent="0.25">
      <c r="O147" s="4" t="str">
        <f>[1]o!AE155</f>
        <v>åkertistel</v>
      </c>
    </row>
    <row r="148" spans="15:15" x14ac:dyDescent="0.25">
      <c r="O148" s="4" t="str">
        <f>[1]o!AE156</f>
        <v>åkerven</v>
      </c>
    </row>
    <row r="149" spans="15:15" x14ac:dyDescent="0.25">
      <c r="O149" s="4" t="str">
        <f>[1]o!AE157</f>
        <v>åkerveronika</v>
      </c>
    </row>
    <row r="150" spans="15:15" x14ac:dyDescent="0.25">
      <c r="O150" s="4" t="str">
        <f>[1]o!AE158</f>
        <v>åkervinda</v>
      </c>
    </row>
    <row r="151" spans="15:15" x14ac:dyDescent="0.25">
      <c r="O151" s="4" t="str">
        <f>[1]o!AE159</f>
        <v>åkerviol</v>
      </c>
    </row>
    <row r="152" spans="15:15" x14ac:dyDescent="0.25">
      <c r="O152" s="4"/>
    </row>
    <row r="153" spans="15:15" x14ac:dyDescent="0.25">
      <c r="O153" s="4"/>
    </row>
    <row r="154" spans="15:15" x14ac:dyDescent="0.25">
      <c r="O154" s="4"/>
    </row>
    <row r="155" spans="15:15" x14ac:dyDescent="0.25">
      <c r="O155" s="4"/>
    </row>
    <row r="156" spans="15:15" x14ac:dyDescent="0.25">
      <c r="O156" s="4"/>
    </row>
    <row r="157" spans="15:15" x14ac:dyDescent="0.25">
      <c r="O157" s="4"/>
    </row>
    <row r="158" spans="15:15" x14ac:dyDescent="0.25">
      <c r="O158" s="4"/>
    </row>
    <row r="159" spans="15:15" x14ac:dyDescent="0.25">
      <c r="O159" s="4"/>
    </row>
    <row r="160" spans="15:15" x14ac:dyDescent="0.25">
      <c r="O160" s="4"/>
    </row>
  </sheetData>
  <mergeCells count="6">
    <mergeCell ref="G1:J1"/>
    <mergeCell ref="B14:J15"/>
    <mergeCell ref="C56:D56"/>
    <mergeCell ref="B57:B58"/>
    <mergeCell ref="C57:D58"/>
    <mergeCell ref="F57:J58"/>
  </mergeCells>
  <conditionalFormatting sqref="B57:D58">
    <cfRule type="notContainsBlanks" dxfId="35" priority="36">
      <formula>LEN(TRIM(B57))&gt;0</formula>
    </cfRule>
  </conditionalFormatting>
  <conditionalFormatting sqref="B16:J20">
    <cfRule type="expression" dxfId="34" priority="32">
      <formula>IF($A$20=1,1,0)</formula>
    </cfRule>
  </conditionalFormatting>
  <conditionalFormatting sqref="B21:J25">
    <cfRule type="expression" dxfId="33" priority="28">
      <formula>IF($A$25=1,1,0)</formula>
    </cfRule>
  </conditionalFormatting>
  <conditionalFormatting sqref="B26:J30">
    <cfRule type="expression" dxfId="32" priority="24">
      <formula>IF($A$30=1,1,0)</formula>
    </cfRule>
  </conditionalFormatting>
  <conditionalFormatting sqref="B31:J35">
    <cfRule type="expression" dxfId="31" priority="20">
      <formula>IF($A$35=1,1,0)</formula>
    </cfRule>
  </conditionalFormatting>
  <conditionalFormatting sqref="B36:J40">
    <cfRule type="expression" dxfId="30" priority="16">
      <formula>IF($A$40=1,1,0)</formula>
    </cfRule>
  </conditionalFormatting>
  <conditionalFormatting sqref="B41:J45">
    <cfRule type="expression" dxfId="29" priority="12">
      <formula>IF($A$45=1,1,0)</formula>
    </cfRule>
  </conditionalFormatting>
  <conditionalFormatting sqref="B46:J50">
    <cfRule type="expression" dxfId="28" priority="8">
      <formula>IF($A$50=1,1,0)</formula>
    </cfRule>
  </conditionalFormatting>
  <conditionalFormatting sqref="B51:J55">
    <cfRule type="expression" dxfId="27" priority="4">
      <formula>IF($A$55=1,1,0)</formula>
    </cfRule>
  </conditionalFormatting>
  <conditionalFormatting sqref="D16 C18:D20">
    <cfRule type="expression" dxfId="26" priority="35">
      <formula>IF(AND($A$16=1,$A$17=1),1,0)</formula>
    </cfRule>
  </conditionalFormatting>
  <conditionalFormatting sqref="D21 C23:D25">
    <cfRule type="expression" dxfId="25" priority="31">
      <formula>IF(AND($A$21=1,$A$22=1),1,0)</formula>
    </cfRule>
  </conditionalFormatting>
  <conditionalFormatting sqref="D26 C28:D30">
    <cfRule type="expression" dxfId="24" priority="27">
      <formula>IF(AND($A$26=1,$A$27=1),1,0)</formula>
    </cfRule>
  </conditionalFormatting>
  <conditionalFormatting sqref="D31 C33:D35">
    <cfRule type="expression" dxfId="23" priority="23">
      <formula>IF(AND($A$31=1,$A$32=1),1,0)</formula>
    </cfRule>
  </conditionalFormatting>
  <conditionalFormatting sqref="D36 C38:D40">
    <cfRule type="expression" dxfId="22" priority="19">
      <formula>IF(AND($A$36=1,$A$37=1),1,0)</formula>
    </cfRule>
  </conditionalFormatting>
  <conditionalFormatting sqref="D41 C43:D45">
    <cfRule type="expression" dxfId="21" priority="15">
      <formula>IF(AND($A$41=1,$A$42=1),1,0)</formula>
    </cfRule>
  </conditionalFormatting>
  <conditionalFormatting sqref="D46 C48:D50">
    <cfRule type="expression" dxfId="20" priority="11">
      <formula>IF(AND($A$46=1,$A$47=1),1,0)</formula>
    </cfRule>
  </conditionalFormatting>
  <conditionalFormatting sqref="D51 C53:D55">
    <cfRule type="expression" dxfId="19" priority="7">
      <formula>IF(AND($A$51=1,$A$52=1),1,0)</formula>
    </cfRule>
  </conditionalFormatting>
  <conditionalFormatting sqref="F17:I20">
    <cfRule type="expression" dxfId="18" priority="33">
      <formula>IF(AND($A$16=1,$A$19=1),1,0)</formula>
    </cfRule>
  </conditionalFormatting>
  <conditionalFormatting sqref="F22:I25">
    <cfRule type="expression" dxfId="17" priority="29">
      <formula>IF(AND($A$21=1,$A$24=1),1,0)</formula>
    </cfRule>
  </conditionalFormatting>
  <conditionalFormatting sqref="F27:I30">
    <cfRule type="expression" dxfId="16" priority="25">
      <formula>IF(AND($A$26=1,$A$29=1),1,0)</formula>
    </cfRule>
  </conditionalFormatting>
  <conditionalFormatting sqref="F32:I35">
    <cfRule type="expression" dxfId="15" priority="21">
      <formula>IF(AND($A$31=1,$A$34=1),1,0)</formula>
    </cfRule>
  </conditionalFormatting>
  <conditionalFormatting sqref="F37:I40">
    <cfRule type="expression" dxfId="14" priority="17">
      <formula>IF(AND($A$36=1,$A$39=1),1,0)</formula>
    </cfRule>
  </conditionalFormatting>
  <conditionalFormatting sqref="F42:I45">
    <cfRule type="expression" dxfId="13" priority="13">
      <formula>IF(AND($A$41=1,$A$44=1),1,0)</formula>
    </cfRule>
  </conditionalFormatting>
  <conditionalFormatting sqref="F47:I50">
    <cfRule type="expression" dxfId="12" priority="9">
      <formula>IF(AND($A$46=1,$A$49=1),1,0)</formula>
    </cfRule>
  </conditionalFormatting>
  <conditionalFormatting sqref="F52:I55">
    <cfRule type="expression" dxfId="11" priority="5">
      <formula>IF(AND($A$51=1,$A$54=1),1,0)</formula>
    </cfRule>
  </conditionalFormatting>
  <conditionalFormatting sqref="G1:J1">
    <cfRule type="expression" dxfId="10" priority="2">
      <formula>IF(A1=1000,1,0)</formula>
    </cfRule>
    <cfRule type="expression" dxfId="9" priority="3">
      <formula>IF(A1=0,1,0)</formula>
    </cfRule>
    <cfRule type="containsBlanks" dxfId="8" priority="1" stopIfTrue="1">
      <formula>LEN(TRIM(G1))=0</formula>
    </cfRule>
  </conditionalFormatting>
  <conditionalFormatting sqref="J17:J20">
    <cfRule type="expression" dxfId="7" priority="34">
      <formula>IF(AND($A$16=1,$A$18=1),1,0)</formula>
    </cfRule>
  </conditionalFormatting>
  <conditionalFormatting sqref="J22:J25">
    <cfRule type="expression" dxfId="6" priority="30">
      <formula>IF(AND($A$21=1,$A$23=1),1,0)</formula>
    </cfRule>
  </conditionalFormatting>
  <conditionalFormatting sqref="J27:J30">
    <cfRule type="expression" dxfId="5" priority="26">
      <formula>IF(AND($A$26=1,$A$28=1),1,0)</formula>
    </cfRule>
  </conditionalFormatting>
  <conditionalFormatting sqref="J32:J35">
    <cfRule type="expression" dxfId="4" priority="22">
      <formula>IF(AND($A$31=1,$A$33=1),1,0)</formula>
    </cfRule>
  </conditionalFormatting>
  <conditionalFormatting sqref="J37:J40">
    <cfRule type="expression" dxfId="3" priority="18">
      <formula>IF(AND($A$36=1,$A$38=1),1,0)</formula>
    </cfRule>
  </conditionalFormatting>
  <conditionalFormatting sqref="J42:J45">
    <cfRule type="expression" dxfId="2" priority="14">
      <formula>IF(AND($A$41=1,$A$43=1),1,0)</formula>
    </cfRule>
  </conditionalFormatting>
  <conditionalFormatting sqref="J47:J50">
    <cfRule type="expression" dxfId="1" priority="10">
      <formula>IF(AND($A$46=1,$A$48=1),1,0)</formula>
    </cfRule>
  </conditionalFormatting>
  <conditionalFormatting sqref="J52:J55">
    <cfRule type="expression" dxfId="0" priority="6">
      <formula>IF(AND($A$51=1,$A$53=1),1,0)</formula>
    </cfRule>
  </conditionalFormatting>
  <dataValidations count="1">
    <dataValidation type="list" allowBlank="1" showInputMessage="1" showErrorMessage="1" sqref="B17 B22 B27 B32 B37 B42 B47 B52">
      <formula1>$O$2:$O$151</formula1>
    </dataValidation>
  </dataValidations>
  <pageMargins left="0.55118110236220474" right="0.19685039370078741" top="0.39370078740157483" bottom="0.15748031496062992" header="0.19685039370078741" footer="0.27559055118110237"/>
  <pageSetup paperSize="9" orientation="portrait" verticalDpi="1200" r:id="rId1"/>
  <headerFooter alignWithMargins="0">
    <oddHeader>&amp;L&amp;F  Flik &amp;A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1a7ce85-e75b-443b-b423-b81d6cd7db4f" xsi:nil="true"/>
    <lcf76f155ced4ddcb4097134ff3c332f xmlns="479e71f0-4587-44e8-bb07-259c99522de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6" ma:contentTypeDescription="Skapa ett nytt dokument." ma:contentTypeScope="" ma:versionID="4575bd5295936856575e43e33c9e1e55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52ed1e37956c81a928a89176ed8a59a2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5327f363-f41f-4c90-81cb-d1a8474b8312}" ma:internalName="TaxCatchAll" ma:showField="CatchAllData" ma:web="01a7ce85-e75b-443b-b423-b81d6cd7db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7D77E75-57A9-47F8-829C-7BD2FA4E4A0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D4F48CC-CB38-4054-A031-F797E1C9B902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479e71f0-4587-44e8-bb07-259c99522de5"/>
    <ds:schemaRef ds:uri="http://purl.org/dc/terms/"/>
    <ds:schemaRef ds:uri="http://schemas.microsoft.com/office/2006/documentManagement/types"/>
    <ds:schemaRef ds:uri="01a7ce85-e75b-443b-b423-b81d6cd7db4f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5F2A055-9E8C-4209-AB26-E0ACF1E581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9e71f0-4587-44e8-bb07-259c99522de5"/>
    <ds:schemaRef ds:uri="01a7ce85-e75b-443b-b423-b81d6cd7db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6</vt:i4>
      </vt:variant>
      <vt:variant>
        <vt:lpstr>Namngivna områden</vt:lpstr>
      </vt:variant>
      <vt:variant>
        <vt:i4>3</vt:i4>
      </vt:variant>
    </vt:vector>
  </HeadingPairs>
  <TitlesOfParts>
    <vt:vector size="9" baseType="lpstr">
      <vt:lpstr>Spr1</vt:lpstr>
      <vt:lpstr>Spr2</vt:lpstr>
      <vt:lpstr>Spr3</vt:lpstr>
      <vt:lpstr>Ogräsräkning 1</vt:lpstr>
      <vt:lpstr>Ogräsräkning 2</vt:lpstr>
      <vt:lpstr>Ogräsräkning 3</vt:lpstr>
      <vt:lpstr>'Ogräsräkning 1'!Utskriftsområde</vt:lpstr>
      <vt:lpstr>'Ogräsräkning 2'!Utskriftsområde</vt:lpstr>
      <vt:lpstr>'Ogräsräkning 3'!Utskriftsområde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Tobias Heintze</dc:creator>
  <cp:keywords/>
  <dc:description/>
  <cp:lastModifiedBy>Robert Andersson</cp:lastModifiedBy>
  <cp:revision/>
  <dcterms:created xsi:type="dcterms:W3CDTF">2022-04-29T08:48:53Z</dcterms:created>
  <dcterms:modified xsi:type="dcterms:W3CDTF">2023-08-10T11:49:13Z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  <property fmtid="{D5CDD505-2E9C-101B-9397-08002B2CF9AE}" pid="3" name="MediaServiceImageTags">
    <vt:lpwstr/>
  </property>
</Properties>
</file>